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 codeName="ThisWorkbook" defaultThemeVersion="124226"/>
  <bookViews>
    <workbookView xWindow="0" yWindow="0" windowWidth="25440" windowHeight="13020" activeTab="1"/>
  </bookViews>
  <sheets>
    <sheet name="Data Entry" sheetId="13" r:id="rId1"/>
    <sheet name="Sales by Month" sheetId="10" r:id="rId2"/>
    <sheet name="Purchases by Month" sheetId="11" r:id="rId3"/>
    <sheet name="Brandings by Month" sheetId="12" r:id="rId4"/>
    <sheet name="Output" sheetId="9" r:id="rId5"/>
  </sheets>
  <calcPr calcId="145621"/>
</workbook>
</file>

<file path=xl/calcChain.xml><?xml version="1.0" encoding="utf-8"?>
<calcChain xmlns="http://schemas.openxmlformats.org/spreadsheetml/2006/main">
  <c r="D4" i="12" l="1"/>
  <c r="P7" i="12"/>
  <c r="O7" i="12"/>
  <c r="N7" i="12"/>
  <c r="M7" i="12"/>
  <c r="L7" i="12"/>
  <c r="K7" i="12"/>
  <c r="J7" i="12"/>
  <c r="I7" i="12"/>
  <c r="H7" i="12"/>
  <c r="G7" i="12"/>
  <c r="F7" i="12"/>
  <c r="E7" i="12"/>
  <c r="B7" i="12"/>
  <c r="C7" i="12"/>
  <c r="D7" i="12"/>
  <c r="A19" i="12" l="1"/>
  <c r="A18" i="12"/>
  <c r="A17" i="12"/>
  <c r="A16" i="12"/>
  <c r="A15" i="12"/>
  <c r="A14" i="12"/>
  <c r="A13" i="12"/>
  <c r="A12" i="12"/>
  <c r="A11" i="12"/>
  <c r="A10" i="12"/>
  <c r="A9" i="12"/>
  <c r="A8" i="12"/>
  <c r="A7" i="13" l="1"/>
  <c r="A143" i="10" l="1"/>
  <c r="A142" i="10"/>
  <c r="A141" i="10"/>
  <c r="A140" i="10"/>
  <c r="A139" i="10"/>
  <c r="A138" i="10"/>
  <c r="A137" i="10"/>
  <c r="A136" i="10"/>
  <c r="A135" i="10"/>
  <c r="A134" i="10"/>
  <c r="A133" i="10"/>
  <c r="A132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3" i="10"/>
  <c r="A112" i="10"/>
  <c r="A111" i="10"/>
  <c r="A110" i="10"/>
  <c r="A109" i="10"/>
  <c r="A108" i="10"/>
  <c r="A107" i="10"/>
  <c r="A106" i="10"/>
  <c r="A105" i="10"/>
  <c r="A104" i="10"/>
  <c r="A103" i="10"/>
  <c r="A102" i="10"/>
  <c r="P20" i="12" l="1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H4" i="12"/>
  <c r="D23" i="12" l="1"/>
  <c r="C23" i="12"/>
  <c r="F23" i="12"/>
  <c r="E23" i="12"/>
  <c r="B23" i="12"/>
  <c r="B3" i="9" l="1"/>
  <c r="E148" i="12"/>
  <c r="E152" i="12"/>
  <c r="E156" i="12"/>
  <c r="E133" i="12"/>
  <c r="E137" i="12"/>
  <c r="E141" i="12"/>
  <c r="E118" i="12"/>
  <c r="E122" i="12"/>
  <c r="C126" i="12"/>
  <c r="A157" i="12"/>
  <c r="B157" i="12" s="1"/>
  <c r="A156" i="12"/>
  <c r="C156" i="12" s="1"/>
  <c r="A155" i="12"/>
  <c r="D155" i="12" s="1"/>
  <c r="A154" i="12"/>
  <c r="E154" i="12" s="1"/>
  <c r="A153" i="12"/>
  <c r="B153" i="12" s="1"/>
  <c r="A152" i="12"/>
  <c r="C152" i="12" s="1"/>
  <c r="A151" i="12"/>
  <c r="D151" i="12" s="1"/>
  <c r="A150" i="12"/>
  <c r="E150" i="12" s="1"/>
  <c r="A149" i="12"/>
  <c r="B149" i="12" s="1"/>
  <c r="A148" i="12"/>
  <c r="C148" i="12" s="1"/>
  <c r="A147" i="12"/>
  <c r="D147" i="12" s="1"/>
  <c r="A146" i="12"/>
  <c r="C146" i="12" s="1"/>
  <c r="A142" i="12"/>
  <c r="B142" i="12" s="1"/>
  <c r="A141" i="12"/>
  <c r="C141" i="12" s="1"/>
  <c r="A140" i="12"/>
  <c r="D140" i="12" s="1"/>
  <c r="A139" i="12"/>
  <c r="E139" i="12" s="1"/>
  <c r="A138" i="12"/>
  <c r="B138" i="12" s="1"/>
  <c r="A137" i="12"/>
  <c r="C137" i="12" s="1"/>
  <c r="A136" i="12"/>
  <c r="D136" i="12" s="1"/>
  <c r="A135" i="12"/>
  <c r="E135" i="12" s="1"/>
  <c r="A134" i="12"/>
  <c r="B134" i="12" s="1"/>
  <c r="A133" i="12"/>
  <c r="C133" i="12" s="1"/>
  <c r="A132" i="12"/>
  <c r="D132" i="12" s="1"/>
  <c r="A131" i="12"/>
  <c r="C131" i="12" s="1"/>
  <c r="A127" i="12"/>
  <c r="B127" i="12" s="1"/>
  <c r="A126" i="12"/>
  <c r="D126" i="12" s="1"/>
  <c r="A125" i="12"/>
  <c r="D125" i="12" s="1"/>
  <c r="A124" i="12"/>
  <c r="E124" i="12" s="1"/>
  <c r="A123" i="12"/>
  <c r="B123" i="12" s="1"/>
  <c r="A122" i="12"/>
  <c r="C122" i="12" s="1"/>
  <c r="A121" i="12"/>
  <c r="D121" i="12" s="1"/>
  <c r="A120" i="12"/>
  <c r="E120" i="12" s="1"/>
  <c r="A119" i="12"/>
  <c r="B119" i="12" s="1"/>
  <c r="A118" i="12"/>
  <c r="C118" i="12" s="1"/>
  <c r="A117" i="12"/>
  <c r="D117" i="12" s="1"/>
  <c r="A116" i="12"/>
  <c r="F116" i="12" s="1"/>
  <c r="B103" i="11"/>
  <c r="F103" i="11"/>
  <c r="E104" i="11"/>
  <c r="C106" i="11"/>
  <c r="B107" i="11"/>
  <c r="F107" i="11"/>
  <c r="E108" i="11"/>
  <c r="C110" i="11"/>
  <c r="B111" i="11"/>
  <c r="F111" i="11"/>
  <c r="E112" i="11"/>
  <c r="E102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3" i="11"/>
  <c r="E113" i="11" s="1"/>
  <c r="A112" i="11"/>
  <c r="B112" i="11" s="1"/>
  <c r="A111" i="11"/>
  <c r="C111" i="11" s="1"/>
  <c r="A110" i="11"/>
  <c r="D110" i="11" s="1"/>
  <c r="A109" i="11"/>
  <c r="E109" i="11" s="1"/>
  <c r="A108" i="11"/>
  <c r="B108" i="11" s="1"/>
  <c r="A107" i="11"/>
  <c r="C107" i="11" s="1"/>
  <c r="A106" i="11"/>
  <c r="D106" i="11" s="1"/>
  <c r="A105" i="11"/>
  <c r="E105" i="11" s="1"/>
  <c r="A104" i="11"/>
  <c r="B104" i="11" s="1"/>
  <c r="A103" i="11"/>
  <c r="C103" i="11" s="1"/>
  <c r="A102" i="11"/>
  <c r="D102" i="11" s="1"/>
  <c r="A19" i="11"/>
  <c r="A18" i="11"/>
  <c r="A17" i="11"/>
  <c r="A16" i="11"/>
  <c r="A15" i="11"/>
  <c r="A14" i="11"/>
  <c r="A13" i="11"/>
  <c r="A12" i="11"/>
  <c r="A11" i="11"/>
  <c r="A10" i="11"/>
  <c r="A9" i="11"/>
  <c r="A8" i="11"/>
  <c r="B103" i="10"/>
  <c r="C103" i="10"/>
  <c r="D103" i="10"/>
  <c r="E103" i="10"/>
  <c r="F103" i="10"/>
  <c r="B104" i="10"/>
  <c r="C104" i="10"/>
  <c r="D104" i="10"/>
  <c r="E104" i="10"/>
  <c r="F104" i="10"/>
  <c r="B105" i="10"/>
  <c r="C105" i="10"/>
  <c r="D105" i="10"/>
  <c r="E105" i="10"/>
  <c r="F105" i="10"/>
  <c r="B106" i="10"/>
  <c r="C106" i="10"/>
  <c r="D106" i="10"/>
  <c r="E106" i="10"/>
  <c r="F106" i="10"/>
  <c r="B107" i="10"/>
  <c r="C107" i="10"/>
  <c r="D107" i="10"/>
  <c r="E107" i="10"/>
  <c r="F107" i="10"/>
  <c r="B108" i="10"/>
  <c r="C108" i="10"/>
  <c r="D108" i="10"/>
  <c r="E108" i="10"/>
  <c r="F108" i="10"/>
  <c r="B109" i="10"/>
  <c r="C109" i="10"/>
  <c r="D109" i="10"/>
  <c r="E109" i="10"/>
  <c r="F109" i="10"/>
  <c r="B110" i="10"/>
  <c r="C110" i="10"/>
  <c r="D110" i="10"/>
  <c r="E110" i="10"/>
  <c r="F110" i="10"/>
  <c r="B111" i="10"/>
  <c r="C111" i="10"/>
  <c r="D111" i="10"/>
  <c r="E111" i="10"/>
  <c r="F111" i="10"/>
  <c r="B112" i="10"/>
  <c r="C112" i="10"/>
  <c r="D112" i="10"/>
  <c r="E112" i="10"/>
  <c r="F112" i="10"/>
  <c r="B113" i="10"/>
  <c r="C113" i="10"/>
  <c r="D113" i="10"/>
  <c r="E113" i="10"/>
  <c r="F113" i="10"/>
  <c r="F102" i="10"/>
  <c r="E102" i="10"/>
  <c r="D102" i="10"/>
  <c r="C102" i="10"/>
  <c r="B102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B14" i="9"/>
  <c r="B4" i="9"/>
  <c r="B13" i="9"/>
  <c r="B5" i="9"/>
  <c r="B18" i="9"/>
  <c r="D113" i="11" l="1"/>
  <c r="D109" i="11"/>
  <c r="D105" i="11"/>
  <c r="B102" i="11"/>
  <c r="F102" i="11"/>
  <c r="C113" i="11"/>
  <c r="D112" i="11"/>
  <c r="E111" i="11"/>
  <c r="F110" i="11"/>
  <c r="B110" i="11"/>
  <c r="C109" i="11"/>
  <c r="D108" i="11"/>
  <c r="E107" i="11"/>
  <c r="F106" i="11"/>
  <c r="B106" i="11"/>
  <c r="C105" i="11"/>
  <c r="D104" i="11"/>
  <c r="E103" i="11"/>
  <c r="C116" i="12"/>
  <c r="F125" i="12"/>
  <c r="F121" i="12"/>
  <c r="F117" i="12"/>
  <c r="F140" i="12"/>
  <c r="F136" i="12"/>
  <c r="F132" i="12"/>
  <c r="F155" i="12"/>
  <c r="F151" i="12"/>
  <c r="F147" i="12"/>
  <c r="C102" i="11"/>
  <c r="F113" i="11"/>
  <c r="B113" i="11"/>
  <c r="C112" i="11"/>
  <c r="D111" i="11"/>
  <c r="E110" i="11"/>
  <c r="F109" i="11"/>
  <c r="B109" i="11"/>
  <c r="C108" i="11"/>
  <c r="D107" i="11"/>
  <c r="E106" i="11"/>
  <c r="F105" i="11"/>
  <c r="B105" i="11"/>
  <c r="C104" i="11"/>
  <c r="D103" i="11"/>
  <c r="E116" i="12"/>
  <c r="B125" i="12"/>
  <c r="B121" i="12"/>
  <c r="B117" i="12"/>
  <c r="B140" i="12"/>
  <c r="B136" i="12"/>
  <c r="B132" i="12"/>
  <c r="B155" i="12"/>
  <c r="B151" i="12"/>
  <c r="B147" i="12"/>
  <c r="F112" i="11"/>
  <c r="F108" i="11"/>
  <c r="F104" i="11"/>
  <c r="E126" i="12"/>
  <c r="C124" i="12"/>
  <c r="C120" i="12"/>
  <c r="E131" i="12"/>
  <c r="C139" i="12"/>
  <c r="C135" i="12"/>
  <c r="E146" i="12"/>
  <c r="C154" i="12"/>
  <c r="C150" i="12"/>
  <c r="D142" i="12"/>
  <c r="D138" i="12"/>
  <c r="D157" i="12"/>
  <c r="D153" i="12"/>
  <c r="D116" i="12"/>
  <c r="E127" i="12"/>
  <c r="F126" i="12"/>
  <c r="B126" i="12"/>
  <c r="C125" i="12"/>
  <c r="D124" i="12"/>
  <c r="E123" i="12"/>
  <c r="F122" i="12"/>
  <c r="B122" i="12"/>
  <c r="C121" i="12"/>
  <c r="D120" i="12"/>
  <c r="E119" i="12"/>
  <c r="F118" i="12"/>
  <c r="B118" i="12"/>
  <c r="C117" i="12"/>
  <c r="D131" i="12"/>
  <c r="E142" i="12"/>
  <c r="F141" i="12"/>
  <c r="B141" i="12"/>
  <c r="C140" i="12"/>
  <c r="D139" i="12"/>
  <c r="E138" i="12"/>
  <c r="F137" i="12"/>
  <c r="B137" i="12"/>
  <c r="C136" i="12"/>
  <c r="D135" i="12"/>
  <c r="E134" i="12"/>
  <c r="F133" i="12"/>
  <c r="B133" i="12"/>
  <c r="C132" i="12"/>
  <c r="D146" i="12"/>
  <c r="E157" i="12"/>
  <c r="F156" i="12"/>
  <c r="B156" i="12"/>
  <c r="C155" i="12"/>
  <c r="D154" i="12"/>
  <c r="E153" i="12"/>
  <c r="F152" i="12"/>
  <c r="B152" i="12"/>
  <c r="C151" i="12"/>
  <c r="D150" i="12"/>
  <c r="E149" i="12"/>
  <c r="F148" i="12"/>
  <c r="B148" i="12"/>
  <c r="C147" i="12"/>
  <c r="D123" i="12"/>
  <c r="D134" i="12"/>
  <c r="B116" i="12"/>
  <c r="C127" i="12"/>
  <c r="E125" i="12"/>
  <c r="F124" i="12"/>
  <c r="B124" i="12"/>
  <c r="C123" i="12"/>
  <c r="D122" i="12"/>
  <c r="E121" i="12"/>
  <c r="F120" i="12"/>
  <c r="B120" i="12"/>
  <c r="C119" i="12"/>
  <c r="D118" i="12"/>
  <c r="E117" i="12"/>
  <c r="B131" i="12"/>
  <c r="F131" i="12"/>
  <c r="C142" i="12"/>
  <c r="D141" i="12"/>
  <c r="E140" i="12"/>
  <c r="F139" i="12"/>
  <c r="B139" i="12"/>
  <c r="C138" i="12"/>
  <c r="D137" i="12"/>
  <c r="E136" i="12"/>
  <c r="F135" i="12"/>
  <c r="B135" i="12"/>
  <c r="C134" i="12"/>
  <c r="D133" i="12"/>
  <c r="E132" i="12"/>
  <c r="B146" i="12"/>
  <c r="F146" i="12"/>
  <c r="C157" i="12"/>
  <c r="D156" i="12"/>
  <c r="E155" i="12"/>
  <c r="F154" i="12"/>
  <c r="B154" i="12"/>
  <c r="C153" i="12"/>
  <c r="D152" i="12"/>
  <c r="E151" i="12"/>
  <c r="F150" i="12"/>
  <c r="B150" i="12"/>
  <c r="C149" i="12"/>
  <c r="D148" i="12"/>
  <c r="E147" i="12"/>
  <c r="D127" i="12"/>
  <c r="D119" i="12"/>
  <c r="D149" i="12"/>
  <c r="F127" i="12"/>
  <c r="F123" i="12"/>
  <c r="F119" i="12"/>
  <c r="F142" i="12"/>
  <c r="F138" i="12"/>
  <c r="F134" i="12"/>
  <c r="F157" i="12"/>
  <c r="F153" i="12"/>
  <c r="F149" i="12"/>
  <c r="F158" i="12" l="1"/>
  <c r="C158" i="12"/>
  <c r="B158" i="12"/>
  <c r="C128" i="12"/>
  <c r="G23" i="12"/>
  <c r="B128" i="12"/>
  <c r="D158" i="12"/>
  <c r="D143" i="12"/>
  <c r="E143" i="12"/>
  <c r="E128" i="12"/>
  <c r="D128" i="12"/>
  <c r="C143" i="12"/>
  <c r="F128" i="12"/>
  <c r="B143" i="12"/>
  <c r="F143" i="12"/>
  <c r="E158" i="12"/>
  <c r="D27" i="12" l="1"/>
  <c r="B17" i="9" s="1"/>
  <c r="D26" i="12"/>
  <c r="B12" i="9" s="1"/>
  <c r="G128" i="12"/>
  <c r="C30" i="12" s="1"/>
  <c r="G158" i="12"/>
  <c r="G143" i="12"/>
  <c r="C31" i="12" s="1"/>
  <c r="B20" i="10" l="1"/>
  <c r="C20" i="10"/>
  <c r="D20" i="10"/>
  <c r="E20" i="10"/>
  <c r="F20" i="10"/>
  <c r="G20" i="10"/>
  <c r="F143" i="11" l="1"/>
  <c r="F142" i="11"/>
  <c r="F141" i="11"/>
  <c r="F140" i="11"/>
  <c r="F139" i="11"/>
  <c r="F138" i="11"/>
  <c r="F137" i="11"/>
  <c r="F136" i="11"/>
  <c r="F135" i="11"/>
  <c r="F134" i="11"/>
  <c r="F133" i="11"/>
  <c r="F132" i="11"/>
  <c r="F128" i="11"/>
  <c r="F127" i="11"/>
  <c r="F125" i="11"/>
  <c r="F124" i="11"/>
  <c r="F123" i="11"/>
  <c r="F122" i="11"/>
  <c r="F121" i="11"/>
  <c r="F120" i="11"/>
  <c r="F119" i="11"/>
  <c r="F118" i="11"/>
  <c r="F117" i="11"/>
  <c r="B143" i="10"/>
  <c r="B142" i="10"/>
  <c r="B141" i="10"/>
  <c r="B140" i="10"/>
  <c r="B139" i="10"/>
  <c r="B138" i="10"/>
  <c r="B137" i="10"/>
  <c r="B136" i="10"/>
  <c r="B135" i="10"/>
  <c r="B134" i="10"/>
  <c r="B133" i="10"/>
  <c r="F132" i="10"/>
  <c r="B128" i="10"/>
  <c r="B127" i="10"/>
  <c r="B126" i="10"/>
  <c r="B125" i="10"/>
  <c r="B124" i="10"/>
  <c r="B123" i="10"/>
  <c r="B122" i="10"/>
  <c r="B121" i="10"/>
  <c r="B120" i="10"/>
  <c r="F117" i="10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H20" i="10"/>
  <c r="I20" i="10"/>
  <c r="J20" i="10"/>
  <c r="B26" i="10" s="1"/>
  <c r="B15" i="9" s="1"/>
  <c r="K20" i="10"/>
  <c r="L20" i="10"/>
  <c r="M20" i="10"/>
  <c r="N20" i="10"/>
  <c r="O20" i="10"/>
  <c r="P20" i="10"/>
  <c r="B24" i="10" l="1"/>
  <c r="B7" i="9" s="1"/>
  <c r="B23" i="10"/>
  <c r="B23" i="11"/>
  <c r="B11" i="9" s="1"/>
  <c r="B24" i="11"/>
  <c r="B26" i="11"/>
  <c r="B16" i="9" s="1"/>
  <c r="D10" i="9" s="1"/>
  <c r="D12" i="9" s="1"/>
  <c r="B8" i="9"/>
  <c r="B25" i="10"/>
  <c r="B6" i="9" s="1"/>
  <c r="E114" i="11"/>
  <c r="B114" i="10"/>
  <c r="C114" i="10"/>
  <c r="D114" i="10"/>
  <c r="E114" i="10"/>
  <c r="F114" i="10"/>
  <c r="B114" i="11"/>
  <c r="F114" i="11"/>
  <c r="F144" i="11"/>
  <c r="C114" i="11"/>
  <c r="D114" i="11"/>
  <c r="B118" i="10"/>
  <c r="C118" i="10"/>
  <c r="D118" i="10"/>
  <c r="E118" i="10"/>
  <c r="F118" i="10"/>
  <c r="B119" i="10"/>
  <c r="C119" i="10"/>
  <c r="D119" i="10"/>
  <c r="E119" i="10"/>
  <c r="B117" i="10"/>
  <c r="C117" i="10"/>
  <c r="D117" i="10"/>
  <c r="E117" i="10"/>
  <c r="F128" i="10"/>
  <c r="E128" i="10"/>
  <c r="D128" i="10"/>
  <c r="C128" i="10"/>
  <c r="F127" i="10"/>
  <c r="E127" i="10"/>
  <c r="D127" i="10"/>
  <c r="C127" i="10"/>
  <c r="F126" i="10"/>
  <c r="E126" i="10"/>
  <c r="D126" i="10"/>
  <c r="C126" i="10"/>
  <c r="F125" i="10"/>
  <c r="E125" i="10"/>
  <c r="D125" i="10"/>
  <c r="C125" i="10"/>
  <c r="F124" i="10"/>
  <c r="E124" i="10"/>
  <c r="D124" i="10"/>
  <c r="C124" i="10"/>
  <c r="F123" i="10"/>
  <c r="E123" i="10"/>
  <c r="D123" i="10"/>
  <c r="C123" i="10"/>
  <c r="F122" i="10"/>
  <c r="E122" i="10"/>
  <c r="D122" i="10"/>
  <c r="C122" i="10"/>
  <c r="F121" i="10"/>
  <c r="E121" i="10"/>
  <c r="D121" i="10"/>
  <c r="C121" i="10"/>
  <c r="F120" i="10"/>
  <c r="E120" i="10"/>
  <c r="D120" i="10"/>
  <c r="C120" i="10"/>
  <c r="F119" i="10"/>
  <c r="B132" i="10"/>
  <c r="B144" i="10" s="1"/>
  <c r="C132" i="10"/>
  <c r="D132" i="10"/>
  <c r="E132" i="10"/>
  <c r="F143" i="10"/>
  <c r="E143" i="10"/>
  <c r="D143" i="10"/>
  <c r="C143" i="10"/>
  <c r="F142" i="10"/>
  <c r="E142" i="10"/>
  <c r="D142" i="10"/>
  <c r="C142" i="10"/>
  <c r="F141" i="10"/>
  <c r="E141" i="10"/>
  <c r="D141" i="10"/>
  <c r="C141" i="10"/>
  <c r="F140" i="10"/>
  <c r="E140" i="10"/>
  <c r="D140" i="10"/>
  <c r="C140" i="10"/>
  <c r="F139" i="10"/>
  <c r="E139" i="10"/>
  <c r="D139" i="10"/>
  <c r="C139" i="10"/>
  <c r="F138" i="10"/>
  <c r="E138" i="10"/>
  <c r="D138" i="10"/>
  <c r="C138" i="10"/>
  <c r="F137" i="10"/>
  <c r="E137" i="10"/>
  <c r="D137" i="10"/>
  <c r="C137" i="10"/>
  <c r="F136" i="10"/>
  <c r="E136" i="10"/>
  <c r="D136" i="10"/>
  <c r="C136" i="10"/>
  <c r="F135" i="10"/>
  <c r="E135" i="10"/>
  <c r="D135" i="10"/>
  <c r="C135" i="10"/>
  <c r="F134" i="10"/>
  <c r="E134" i="10"/>
  <c r="D134" i="10"/>
  <c r="C134" i="10"/>
  <c r="F133" i="10"/>
  <c r="F144" i="10" s="1"/>
  <c r="E133" i="10"/>
  <c r="D133" i="10"/>
  <c r="C133" i="10"/>
  <c r="B117" i="11"/>
  <c r="C117" i="11"/>
  <c r="D117" i="11"/>
  <c r="E117" i="11"/>
  <c r="B118" i="11"/>
  <c r="C118" i="11"/>
  <c r="D118" i="11"/>
  <c r="E118" i="11"/>
  <c r="B119" i="11"/>
  <c r="C119" i="11"/>
  <c r="D119" i="11"/>
  <c r="E119" i="11"/>
  <c r="B120" i="11"/>
  <c r="C120" i="11"/>
  <c r="D120" i="11"/>
  <c r="E120" i="11"/>
  <c r="B121" i="11"/>
  <c r="C121" i="11"/>
  <c r="D121" i="11"/>
  <c r="E121" i="11"/>
  <c r="B122" i="11"/>
  <c r="C122" i="11"/>
  <c r="D122" i="11"/>
  <c r="E122" i="11"/>
  <c r="B123" i="11"/>
  <c r="C123" i="11"/>
  <c r="D123" i="11"/>
  <c r="E123" i="11"/>
  <c r="B124" i="11"/>
  <c r="C124" i="11"/>
  <c r="D124" i="11"/>
  <c r="E124" i="11"/>
  <c r="B125" i="11"/>
  <c r="C125" i="11"/>
  <c r="D125" i="11"/>
  <c r="E125" i="11"/>
  <c r="F126" i="11"/>
  <c r="F129" i="11" s="1"/>
  <c r="E126" i="11"/>
  <c r="D126" i="11"/>
  <c r="B126" i="11"/>
  <c r="C126" i="11"/>
  <c r="B127" i="11"/>
  <c r="C127" i="11"/>
  <c r="D127" i="11"/>
  <c r="E127" i="11"/>
  <c r="B128" i="11"/>
  <c r="C128" i="11"/>
  <c r="D128" i="11"/>
  <c r="E128" i="11"/>
  <c r="B132" i="11"/>
  <c r="C132" i="11"/>
  <c r="D132" i="11"/>
  <c r="E132" i="11"/>
  <c r="B133" i="11"/>
  <c r="C133" i="11"/>
  <c r="D133" i="11"/>
  <c r="E133" i="11"/>
  <c r="B134" i="11"/>
  <c r="C134" i="11"/>
  <c r="D134" i="11"/>
  <c r="E134" i="11"/>
  <c r="B135" i="11"/>
  <c r="C135" i="11"/>
  <c r="D135" i="11"/>
  <c r="E135" i="11"/>
  <c r="B136" i="11"/>
  <c r="C136" i="11"/>
  <c r="D136" i="11"/>
  <c r="E136" i="11"/>
  <c r="B137" i="11"/>
  <c r="C137" i="11"/>
  <c r="D137" i="11"/>
  <c r="E137" i="11"/>
  <c r="B138" i="11"/>
  <c r="C138" i="11"/>
  <c r="D138" i="11"/>
  <c r="E138" i="11"/>
  <c r="B139" i="11"/>
  <c r="C139" i="11"/>
  <c r="D139" i="11"/>
  <c r="E139" i="11"/>
  <c r="B140" i="11"/>
  <c r="C140" i="11"/>
  <c r="D140" i="11"/>
  <c r="E140" i="11"/>
  <c r="B141" i="11"/>
  <c r="C141" i="11"/>
  <c r="D141" i="11"/>
  <c r="E141" i="11"/>
  <c r="B142" i="11"/>
  <c r="C142" i="11"/>
  <c r="D142" i="11"/>
  <c r="E142" i="11"/>
  <c r="B143" i="11"/>
  <c r="C143" i="11"/>
  <c r="D143" i="11"/>
  <c r="E143" i="11"/>
  <c r="B25" i="11" l="1"/>
  <c r="B9" i="9" s="1"/>
  <c r="D3" i="9" s="1"/>
  <c r="D7" i="9" s="1"/>
  <c r="B10" i="9"/>
  <c r="G114" i="11"/>
  <c r="B30" i="11" s="1"/>
  <c r="B129" i="10"/>
  <c r="G114" i="10"/>
  <c r="B30" i="10" s="1"/>
  <c r="F129" i="10"/>
  <c r="E144" i="10"/>
  <c r="D144" i="10"/>
  <c r="C144" i="10"/>
  <c r="E129" i="10"/>
  <c r="D129" i="10"/>
  <c r="C129" i="10"/>
  <c r="E144" i="11"/>
  <c r="D144" i="11"/>
  <c r="C144" i="11"/>
  <c r="B144" i="11"/>
  <c r="E129" i="11"/>
  <c r="D129" i="11"/>
  <c r="C129" i="11"/>
  <c r="B129" i="11"/>
  <c r="D5" i="9" l="1"/>
  <c r="G129" i="10"/>
  <c r="B29" i="10" s="1"/>
  <c r="G144" i="10"/>
  <c r="B32" i="10" s="1"/>
  <c r="D11" i="9" s="1"/>
  <c r="D18" i="9" s="1"/>
  <c r="G144" i="11"/>
  <c r="B32" i="11" s="1"/>
  <c r="G129" i="11"/>
  <c r="B29" i="11" s="1"/>
  <c r="B31" i="11" s="1"/>
  <c r="B31" i="10" l="1"/>
  <c r="D4" i="9" s="1"/>
  <c r="D16" i="9" s="1"/>
  <c r="D6" i="9"/>
  <c r="D8" i="9" s="1"/>
  <c r="D9" i="9" s="1"/>
  <c r="D17" i="9" s="1"/>
</calcChain>
</file>

<file path=xl/sharedStrings.xml><?xml version="1.0" encoding="utf-8"?>
<sst xmlns="http://schemas.openxmlformats.org/spreadsheetml/2006/main" count="241" uniqueCount="110">
  <si>
    <t>Opening breeders</t>
  </si>
  <si>
    <t>Opening steers</t>
  </si>
  <si>
    <t>Sales of steers</t>
  </si>
  <si>
    <t>Purchase of steers</t>
  </si>
  <si>
    <t>Female sales</t>
  </si>
  <si>
    <t>Female purchases</t>
  </si>
  <si>
    <t>Branded count during year</t>
  </si>
  <si>
    <t>Livestock schedule</t>
  </si>
  <si>
    <t>Opening females</t>
  </si>
  <si>
    <t xml:space="preserve">Deaths in all females </t>
  </si>
  <si>
    <t>Deaths in non-breeding females</t>
  </si>
  <si>
    <t>Deaths in breeding females</t>
  </si>
  <si>
    <t>1. How many years of data are you going to enter?</t>
  </si>
  <si>
    <t>Closing females</t>
  </si>
  <si>
    <t>Closing steers</t>
  </si>
  <si>
    <t>Number of years of records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</si>
  <si>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</si>
  <si>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</si>
  <si>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</si>
  <si>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</si>
  <si>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</si>
  <si>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</si>
  <si>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</si>
  <si>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</si>
  <si>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</si>
  <si>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</si>
  <si>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Breeders</t>
  </si>
  <si>
    <t>Steers</t>
  </si>
  <si>
    <t>Summary from entered data</t>
  </si>
  <si>
    <t>Calculations using entered data to derive additional estimates</t>
  </si>
  <si>
    <t>Mortality rate estimates</t>
  </si>
  <si>
    <t>Female non-breeders</t>
  </si>
  <si>
    <t>The tool can handle up to 5 years of data</t>
  </si>
  <si>
    <t xml:space="preserve">Enter sales and purchases by month in separate worksheets </t>
  </si>
  <si>
    <t>Total female sales</t>
  </si>
  <si>
    <t>Total breeder sales</t>
  </si>
  <si>
    <t>Total female non-breeder sales</t>
  </si>
  <si>
    <t>Total steer sales</t>
  </si>
  <si>
    <t>Total female purchases</t>
  </si>
  <si>
    <t>Total breeder purchases</t>
  </si>
  <si>
    <t>Total female non-breeder purchases</t>
  </si>
  <si>
    <t>TOTAL</t>
  </si>
  <si>
    <t>Enter branded count by month of the year in separate worksheet</t>
  </si>
  <si>
    <t xml:space="preserve">BREEDERS </t>
  </si>
  <si>
    <t>year1</t>
  </si>
  <si>
    <t>year2</t>
  </si>
  <si>
    <t>year3</t>
  </si>
  <si>
    <t>year4</t>
  </si>
  <si>
    <t>year5</t>
  </si>
  <si>
    <t>NON-BREEDER FEMALES</t>
  </si>
  <si>
    <t>STEERS</t>
  </si>
  <si>
    <t>TOTALS</t>
  </si>
  <si>
    <t>MONTH</t>
  </si>
  <si>
    <t>Female deaths per 100 females per year</t>
  </si>
  <si>
    <t>Breeder deaths per 100 breeders per year</t>
  </si>
  <si>
    <t>Steer deaths per 100 steers per year</t>
  </si>
  <si>
    <t>Sales by month for each class</t>
  </si>
  <si>
    <t>Purchases by month for each class</t>
  </si>
  <si>
    <t>Notes:</t>
  </si>
  <si>
    <t>SALES BY MONTH</t>
  </si>
  <si>
    <t>PURCHASES BY MONTH</t>
  </si>
  <si>
    <t>Puchases by month for each class</t>
  </si>
  <si>
    <t>Year 1</t>
  </si>
  <si>
    <t>Year 2</t>
  </si>
  <si>
    <t>Year 3</t>
  </si>
  <si>
    <t>Year 4</t>
  </si>
  <si>
    <t>Year 5</t>
  </si>
  <si>
    <t>BRANDINGS BY MONTH</t>
  </si>
  <si>
    <t>Starting assumption is 3% deaths per year, entered as 0.03.</t>
  </si>
  <si>
    <t>2. For branding data, can you provide separate counts for branded steers and branded heifers, or will you just provide a combined count?</t>
  </si>
  <si>
    <t>2.a. Enter 1 if you will provide separate counts for steers and heifers, OR 2 if you will provide a single combined count.</t>
  </si>
  <si>
    <t>3. Expected proportion of deaths per year in non-breeding females.</t>
  </si>
  <si>
    <t>Rations (females only)</t>
  </si>
  <si>
    <t>Rations (steers only)</t>
  </si>
  <si>
    <t>Overall totals by class</t>
  </si>
  <si>
    <t>Female breeders</t>
  </si>
  <si>
    <t>Total females</t>
  </si>
  <si>
    <t>Total animal-years at-risk by class</t>
  </si>
  <si>
    <t>Sub-totals</t>
  </si>
  <si>
    <t>TOTAL by year &amp; sex</t>
  </si>
  <si>
    <t>Total Animal-years at-risk</t>
  </si>
  <si>
    <t>Totals by year</t>
  </si>
  <si>
    <t>HEIFERS</t>
  </si>
  <si>
    <t>COMBINED HEIFERS + STEERS</t>
  </si>
  <si>
    <t>Branded heifers</t>
  </si>
  <si>
    <t>Closing females - BOOK (opening_females - sales + purchases + branded heifers)</t>
  </si>
  <si>
    <t>At-risk-females (female animal-years)</t>
  </si>
  <si>
    <t>At-risk breeders (breeder animal years)</t>
  </si>
  <si>
    <t>At-risk non-breeder females (non-breeder female animal years)</t>
  </si>
  <si>
    <t>Closing steers - BOOK (opening_steers - sales + purchases + branded steers)</t>
  </si>
  <si>
    <t>Branded steers</t>
  </si>
  <si>
    <t>Totals for heifers and steers</t>
  </si>
  <si>
    <t>Total</t>
  </si>
  <si>
    <t>At-risk steers (steer animal years)</t>
  </si>
  <si>
    <t>4. Enter animal counts below for each year</t>
  </si>
  <si>
    <t>Deaths in steers</t>
  </si>
  <si>
    <r>
      <t xml:space="preserve">Breeders </t>
    </r>
    <r>
      <rPr>
        <sz val="9"/>
        <color theme="1"/>
        <rFont val="Arial"/>
        <family val="2"/>
      </rPr>
      <t>(eligible to be joined that year)</t>
    </r>
  </si>
  <si>
    <t>© Meat &amp; Livestock Australia Limited, 2013</t>
  </si>
  <si>
    <r>
      <t xml:space="preserve">Female non-breeders    </t>
    </r>
    <r>
      <rPr>
        <sz val="9"/>
        <color theme="1"/>
        <rFont val="Arial"/>
        <family val="2"/>
      </rPr>
      <t>(only if branded)</t>
    </r>
  </si>
  <si>
    <r>
      <t xml:space="preserve">Steers         </t>
    </r>
    <r>
      <rPr>
        <sz val="9"/>
        <color theme="1"/>
        <rFont val="Arial"/>
        <family val="2"/>
      </rPr>
      <t>(only if branded)</t>
    </r>
  </si>
  <si>
    <t>Year = 1</t>
  </si>
  <si>
    <t>Year = 2</t>
  </si>
  <si>
    <t>Year = 3</t>
  </si>
  <si>
    <t>Year = 4</t>
  </si>
  <si>
    <t>Year = 5</t>
  </si>
  <si>
    <t>Brandings by month for heifers &amp; steers</t>
  </si>
  <si>
    <t>Closing females adjusted for rations</t>
  </si>
  <si>
    <t>Closing steers adjusted for rations</t>
  </si>
  <si>
    <t xml:space="preserve">            Breeder Mortality Calculator 2.0 Advanced</t>
  </si>
  <si>
    <t>Breeder Mortality Calculator 2.0 Advanced -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</si>
</sst>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24"/>
      <color rgb="FF006633"/>
      <name val="Arial"/>
      <family val="2"/>
    </font>
    <font>
      <b/>
      <sz val="11"/>
      <color theme="1"/>
      <name val="Arial"/>
      <family val="2"/>
    </font>
    <font>
      <b/>
      <sz val="11"/>
      <color rgb="FF993300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rgb="FF993300"/>
      <name val="Arial"/>
      <family val="2"/>
    </font>
    <font>
      <b/>
      <sz val="14"/>
      <name val="Arial"/>
      <family val="2"/>
    </font>
    <font>
      <b/>
      <i/>
      <sz val="16"/>
      <color theme="1"/>
      <name val="Arial"/>
      <family val="2"/>
    </font>
    <font>
      <b/>
      <sz val="12"/>
      <color rgb="FF006633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006633"/>
      <name val="Arial"/>
      <family val="2"/>
    </font>
    <font>
      <i/>
      <sz val="11"/>
      <color rgb="FF9933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color rgb="FF0066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FC7"/>
        <bgColor indexed="64"/>
      </patternFill>
    </fill>
    <fill>
      <patternFill patternType="solid">
        <fgColor rgb="FFFCBB16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rgb="FF0077BB"/>
      </left>
      <right style="hair">
        <color auto="1"/>
      </right>
      <top style="medium">
        <color rgb="FF0077BB"/>
      </top>
      <bottom style="thin">
        <color rgb="FF0077BB"/>
      </bottom>
      <diagonal/>
    </border>
    <border>
      <left style="hair">
        <color auto="1"/>
      </left>
      <right style="medium">
        <color rgb="FF0077BB"/>
      </right>
      <top style="medium">
        <color rgb="FF0077BB"/>
      </top>
      <bottom style="thin">
        <color rgb="FF0077BB"/>
      </bottom>
      <diagonal/>
    </border>
    <border>
      <left style="medium">
        <color rgb="FF0077BB"/>
      </left>
      <right style="thin">
        <color rgb="FF0077BB"/>
      </right>
      <top style="thin">
        <color rgb="FF0077BB"/>
      </top>
      <bottom style="hair">
        <color auto="1"/>
      </bottom>
      <diagonal/>
    </border>
    <border>
      <left/>
      <right style="medium">
        <color rgb="FF0077BB"/>
      </right>
      <top/>
      <bottom style="hair">
        <color auto="1"/>
      </bottom>
      <diagonal/>
    </border>
    <border>
      <left style="medium">
        <color rgb="FF0077BB"/>
      </left>
      <right style="thin">
        <color rgb="FF0077BB"/>
      </right>
      <top style="hair">
        <color auto="1"/>
      </top>
      <bottom style="hair">
        <color auto="1"/>
      </bottom>
      <diagonal/>
    </border>
    <border>
      <left/>
      <right style="medium">
        <color rgb="FF0077BB"/>
      </right>
      <top style="hair">
        <color auto="1"/>
      </top>
      <bottom style="hair">
        <color auto="1"/>
      </bottom>
      <diagonal/>
    </border>
    <border>
      <left style="medium">
        <color rgb="FF0077BB"/>
      </left>
      <right style="thin">
        <color rgb="FF0077BB"/>
      </right>
      <top/>
      <bottom/>
      <diagonal/>
    </border>
    <border>
      <left style="medium">
        <color rgb="FF0077BB"/>
      </left>
      <right style="thin">
        <color rgb="FF0077BB"/>
      </right>
      <top style="hair">
        <color auto="1"/>
      </top>
      <bottom style="medium">
        <color rgb="FF0077BB"/>
      </bottom>
      <diagonal/>
    </border>
    <border>
      <left/>
      <right style="medium">
        <color rgb="FF0077BB"/>
      </right>
      <top style="hair">
        <color auto="1"/>
      </top>
      <bottom style="medium">
        <color rgb="FF0077BB"/>
      </bottom>
      <diagonal/>
    </border>
    <border>
      <left style="medium">
        <color rgb="FF993300"/>
      </left>
      <right style="hair">
        <color auto="1"/>
      </right>
      <top style="medium">
        <color rgb="FF993300"/>
      </top>
      <bottom style="thin">
        <color rgb="FF993300"/>
      </bottom>
      <diagonal/>
    </border>
    <border>
      <left style="hair">
        <color auto="1"/>
      </left>
      <right style="medium">
        <color rgb="FF993300"/>
      </right>
      <top style="medium">
        <color rgb="FF993300"/>
      </top>
      <bottom style="thin">
        <color rgb="FF993300"/>
      </bottom>
      <diagonal/>
    </border>
    <border>
      <left style="medium">
        <color rgb="FF993300"/>
      </left>
      <right style="thin">
        <color rgb="FF993300"/>
      </right>
      <top/>
      <bottom style="hair">
        <color auto="1"/>
      </bottom>
      <diagonal/>
    </border>
    <border>
      <left/>
      <right style="medium">
        <color rgb="FF993300"/>
      </right>
      <top/>
      <bottom style="hair">
        <color auto="1"/>
      </bottom>
      <diagonal/>
    </border>
    <border>
      <left style="medium">
        <color rgb="FF993300"/>
      </left>
      <right style="thin">
        <color rgb="FF993300"/>
      </right>
      <top style="hair">
        <color auto="1"/>
      </top>
      <bottom style="hair">
        <color auto="1"/>
      </bottom>
      <diagonal/>
    </border>
    <border>
      <left/>
      <right style="medium">
        <color rgb="FF993300"/>
      </right>
      <top style="hair">
        <color auto="1"/>
      </top>
      <bottom style="hair">
        <color auto="1"/>
      </bottom>
      <diagonal/>
    </border>
    <border>
      <left style="medium">
        <color rgb="FF993300"/>
      </left>
      <right style="thin">
        <color rgb="FF993300"/>
      </right>
      <top style="hair">
        <color auto="1"/>
      </top>
      <bottom style="medium">
        <color rgb="FF993300"/>
      </bottom>
      <diagonal/>
    </border>
    <border>
      <left/>
      <right style="medium">
        <color rgb="FF993300"/>
      </right>
      <top style="hair">
        <color auto="1"/>
      </top>
      <bottom style="medium">
        <color rgb="FF993300"/>
      </bottom>
      <diagonal/>
    </border>
    <border>
      <left style="medium">
        <color rgb="FF006633"/>
      </left>
      <right/>
      <top style="medium">
        <color rgb="FF006633"/>
      </top>
      <bottom style="thin">
        <color rgb="FF006633"/>
      </bottom>
      <diagonal/>
    </border>
    <border>
      <left/>
      <right style="medium">
        <color rgb="FF006633"/>
      </right>
      <top style="medium">
        <color rgb="FF006633"/>
      </top>
      <bottom style="thin">
        <color rgb="FF006633"/>
      </bottom>
      <diagonal/>
    </border>
    <border>
      <left style="medium">
        <color rgb="FF006633"/>
      </left>
      <right style="thin">
        <color rgb="FF006633"/>
      </right>
      <top/>
      <bottom style="hair">
        <color auto="1"/>
      </bottom>
      <diagonal/>
    </border>
    <border>
      <left/>
      <right style="medium">
        <color rgb="FF006633"/>
      </right>
      <top/>
      <bottom style="hair">
        <color auto="1"/>
      </bottom>
      <diagonal/>
    </border>
    <border>
      <left style="medium">
        <color rgb="FF006633"/>
      </left>
      <right style="thin">
        <color rgb="FF006633"/>
      </right>
      <top style="hair">
        <color auto="1"/>
      </top>
      <bottom style="hair">
        <color auto="1"/>
      </bottom>
      <diagonal/>
    </border>
    <border>
      <left/>
      <right style="medium">
        <color rgb="FF006633"/>
      </right>
      <top style="hair">
        <color auto="1"/>
      </top>
      <bottom style="hair">
        <color auto="1"/>
      </bottom>
      <diagonal/>
    </border>
    <border>
      <left style="medium">
        <color rgb="FF006633"/>
      </left>
      <right style="thin">
        <color rgb="FF006633"/>
      </right>
      <top style="hair">
        <color auto="1"/>
      </top>
      <bottom style="medium">
        <color rgb="FF006633"/>
      </bottom>
      <diagonal/>
    </border>
    <border>
      <left/>
      <right style="medium">
        <color rgb="FF006633"/>
      </right>
      <top style="hair">
        <color auto="1"/>
      </top>
      <bottom style="medium">
        <color rgb="FF006633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15">
    <xf numFmtId="0" fontId="0" fillId="0" borderId="0" xfId="0"/>
    <xf numFmtId="0" fontId="3" fillId="3" borderId="15" xfId="0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3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5" xfId="0" applyNumberFormat="1" applyFont="1" applyFill="1" applyBorder="1" applyAlignment="1" applyProtection="1">
      <alignment horizontal="center"/>
      <protection locked="0"/>
    </xf>
    <xf numFmtId="3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9" xfId="0" applyNumberFormat="1" applyFont="1" applyFill="1" applyBorder="1" applyAlignment="1" applyProtection="1">
      <alignment horizontal="center"/>
      <protection locked="0"/>
    </xf>
    <xf numFmtId="3" fontId="3" fillId="3" borderId="7" xfId="0" applyNumberFormat="1" applyFont="1" applyFill="1" applyBorder="1" applyAlignment="1" applyProtection="1">
      <alignment horizontal="center"/>
      <protection locked="0"/>
    </xf>
    <xf numFmtId="3" fontId="3" fillId="3" borderId="16" xfId="0" applyNumberFormat="1" applyFont="1" applyFill="1" applyBorder="1" applyAlignment="1" applyProtection="1">
      <alignment horizontal="center"/>
      <protection locked="0"/>
    </xf>
    <xf numFmtId="3" fontId="3" fillId="3" borderId="17" xfId="0" applyNumberFormat="1" applyFont="1" applyFill="1" applyBorder="1" applyAlignment="1" applyProtection="1">
      <alignment horizontal="center"/>
      <protection locked="0"/>
    </xf>
    <xf numFmtId="3" fontId="3" fillId="3" borderId="18" xfId="0" applyNumberFormat="1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5" xfId="0" applyNumberFormat="1" applyFont="1" applyFill="1" applyBorder="1" applyAlignment="1" applyProtection="1">
      <alignment horizontal="center" vertical="center"/>
      <protection locked="0"/>
    </xf>
    <xf numFmtId="3" fontId="5" fillId="3" borderId="35" xfId="0" applyNumberFormat="1" applyFont="1" applyFill="1" applyBorder="1" applyAlignment="1" applyProtection="1">
      <alignment horizontal="center" vertical="center"/>
      <protection locked="0"/>
    </xf>
    <xf numFmtId="3" fontId="5" fillId="3" borderId="36" xfId="0" applyNumberFormat="1" applyFont="1" applyFill="1" applyBorder="1" applyAlignment="1" applyProtection="1">
      <alignment horizontal="center" vertical="center"/>
      <protection locked="0"/>
    </xf>
    <xf numFmtId="3" fontId="5" fillId="3" borderId="9" xfId="0" applyNumberFormat="1" applyFont="1" applyFill="1" applyBorder="1" applyAlignment="1" applyProtection="1">
      <alignment horizontal="center" vertical="center"/>
      <protection locked="0"/>
    </xf>
    <xf numFmtId="3" fontId="5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>
      <alignment horizontal="left" vertical="center"/>
    </xf>
    <xf numFmtId="0" fontId="0" fillId="4" borderId="13" xfId="0" applyFill="1" applyBorder="1"/>
    <xf numFmtId="0" fontId="0" fillId="4" borderId="0" xfId="0" applyFill="1"/>
    <xf numFmtId="0" fontId="10" fillId="4" borderId="0" xfId="0" applyFont="1" applyFill="1" applyBorder="1" applyAlignment="1">
      <alignment vertical="center"/>
    </xf>
    <xf numFmtId="0" fontId="0" fillId="4" borderId="0" xfId="0" applyFill="1" applyBorder="1"/>
    <xf numFmtId="0" fontId="2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4" borderId="2" xfId="0" applyFont="1" applyFill="1" applyBorder="1" applyAlignment="1">
      <alignment vertical="center" wrapText="1"/>
    </xf>
    <xf numFmtId="0" fontId="7" fillId="4" borderId="0" xfId="0" applyFont="1" applyFill="1" applyAlignment="1">
      <alignment horizontal="left" vertical="center"/>
    </xf>
    <xf numFmtId="0" fontId="8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3" fillId="4" borderId="0" xfId="0" applyFont="1" applyFill="1"/>
    <xf numFmtId="0" fontId="3" fillId="4" borderId="4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wrapText="1"/>
    </xf>
    <xf numFmtId="0" fontId="9" fillId="4" borderId="0" xfId="0" applyFont="1" applyFill="1" applyAlignment="1">
      <alignment vertical="center"/>
    </xf>
    <xf numFmtId="0" fontId="3" fillId="4" borderId="0" xfId="0" applyFont="1" applyFill="1" applyAlignment="1">
      <alignment horizontal="left" wrapText="1"/>
    </xf>
    <xf numFmtId="0" fontId="3" fillId="4" borderId="15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center"/>
    </xf>
    <xf numFmtId="3" fontId="3" fillId="4" borderId="0" xfId="0" applyNumberFormat="1" applyFont="1" applyFill="1" applyBorder="1" applyAlignment="1">
      <alignment horizontal="center"/>
    </xf>
    <xf numFmtId="0" fontId="3" fillId="4" borderId="34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3" fontId="13" fillId="4" borderId="0" xfId="1" applyNumberFormat="1" applyFill="1" applyBorder="1" applyAlignment="1">
      <alignment horizontal="center"/>
    </xf>
    <xf numFmtId="0" fontId="6" fillId="4" borderId="15" xfId="0" applyFont="1" applyFill="1" applyBorder="1" applyAlignment="1">
      <alignment horizontal="center" vertical="center"/>
    </xf>
    <xf numFmtId="0" fontId="3" fillId="4" borderId="0" xfId="0" applyFont="1" applyFill="1" applyAlignment="1">
      <alignment wrapText="1"/>
    </xf>
    <xf numFmtId="0" fontId="3" fillId="4" borderId="0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5" fillId="4" borderId="0" xfId="0" applyFont="1" applyFill="1"/>
    <xf numFmtId="0" fontId="1" fillId="4" borderId="0" xfId="0" applyFont="1" applyFill="1"/>
    <xf numFmtId="0" fontId="5" fillId="4" borderId="10" xfId="0" applyFont="1" applyFill="1" applyBorder="1"/>
    <xf numFmtId="0" fontId="5" fillId="4" borderId="19" xfId="0" applyFont="1" applyFill="1" applyBorder="1" applyAlignment="1">
      <alignment horizontal="center" vertical="top" wrapText="1"/>
    </xf>
    <xf numFmtId="0" fontId="5" fillId="4" borderId="20" xfId="0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top" wrapText="1"/>
    </xf>
    <xf numFmtId="0" fontId="5" fillId="4" borderId="19" xfId="0" applyFont="1" applyFill="1" applyBorder="1" applyAlignment="1">
      <alignment horizontal="center" vertical="top"/>
    </xf>
    <xf numFmtId="0" fontId="5" fillId="4" borderId="21" xfId="0" applyFont="1" applyFill="1" applyBorder="1" applyAlignment="1">
      <alignment horizontal="center" vertical="top"/>
    </xf>
    <xf numFmtId="0" fontId="5" fillId="4" borderId="15" xfId="0" applyFont="1" applyFill="1" applyBorder="1"/>
    <xf numFmtId="3" fontId="5" fillId="4" borderId="15" xfId="0" applyNumberFormat="1" applyFont="1" applyFill="1" applyBorder="1" applyAlignment="1">
      <alignment horizontal="center"/>
    </xf>
    <xf numFmtId="0" fontId="3" fillId="4" borderId="22" xfId="0" applyFont="1" applyFill="1" applyBorder="1"/>
    <xf numFmtId="0" fontId="3" fillId="4" borderId="23" xfId="0" applyFont="1" applyFill="1" applyBorder="1"/>
    <xf numFmtId="0" fontId="3" fillId="4" borderId="24" xfId="0" applyFont="1" applyFill="1" applyBorder="1"/>
    <xf numFmtId="0" fontId="3" fillId="4" borderId="12" xfId="0" applyFont="1" applyFill="1" applyBorder="1"/>
    <xf numFmtId="0" fontId="3" fillId="4" borderId="37" xfId="0" applyFont="1" applyFill="1" applyBorder="1"/>
    <xf numFmtId="0" fontId="3" fillId="4" borderId="38" xfId="0" applyFont="1" applyFill="1" applyBorder="1" applyAlignment="1">
      <alignment horizontal="right"/>
    </xf>
    <xf numFmtId="0" fontId="3" fillId="4" borderId="39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/>
    </xf>
    <xf numFmtId="3" fontId="5" fillId="2" borderId="15" xfId="0" applyNumberFormat="1" applyFont="1" applyFill="1" applyBorder="1" applyAlignment="1">
      <alignment horizontal="center"/>
    </xf>
    <xf numFmtId="0" fontId="0" fillId="4" borderId="0" xfId="0" applyFill="1" applyAlignment="1">
      <alignment wrapText="1"/>
    </xf>
    <xf numFmtId="0" fontId="0" fillId="4" borderId="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4" borderId="22" xfId="0" applyFont="1" applyFill="1" applyBorder="1"/>
    <xf numFmtId="0" fontId="5" fillId="4" borderId="24" xfId="0" applyFont="1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12" xfId="0" applyFill="1" applyBorder="1"/>
    <xf numFmtId="0" fontId="0" fillId="4" borderId="0" xfId="0" applyFill="1" applyBorder="1" applyAlignment="1">
      <alignment horizontal="center"/>
    </xf>
    <xf numFmtId="0" fontId="0" fillId="4" borderId="37" xfId="0" applyFill="1" applyBorder="1"/>
    <xf numFmtId="0" fontId="0" fillId="4" borderId="1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3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4" borderId="0" xfId="0" applyFont="1" applyFill="1" applyBorder="1"/>
    <xf numFmtId="0" fontId="3" fillId="4" borderId="1" xfId="0" applyFont="1" applyFill="1" applyBorder="1"/>
    <xf numFmtId="0" fontId="3" fillId="4" borderId="38" xfId="0" applyFont="1" applyFill="1" applyBorder="1"/>
    <xf numFmtId="0" fontId="3" fillId="4" borderId="39" xfId="0" applyFont="1" applyFill="1" applyBorder="1"/>
    <xf numFmtId="0" fontId="3" fillId="4" borderId="23" xfId="0" applyFont="1" applyFill="1" applyBorder="1" applyAlignment="1">
      <alignment horizontal="center"/>
    </xf>
    <xf numFmtId="0" fontId="0" fillId="4" borderId="0" xfId="0" applyFont="1" applyFill="1" applyBorder="1"/>
    <xf numFmtId="0" fontId="0" fillId="4" borderId="0" xfId="0" applyFont="1" applyFill="1"/>
    <xf numFmtId="0" fontId="5" fillId="4" borderId="0" xfId="0" applyFont="1" applyFill="1" applyBorder="1" applyAlignment="1">
      <alignment horizontal="left" vertical="center"/>
    </xf>
    <xf numFmtId="3" fontId="0" fillId="4" borderId="0" xfId="0" applyNumberFormat="1" applyFont="1" applyFill="1"/>
    <xf numFmtId="0" fontId="3" fillId="4" borderId="0" xfId="0" applyFont="1" applyFill="1" applyBorder="1" applyAlignment="1">
      <alignment horizontal="left" vertical="center"/>
    </xf>
    <xf numFmtId="1" fontId="3" fillId="4" borderId="0" xfId="0" applyNumberFormat="1" applyFont="1" applyFill="1" applyBorder="1" applyAlignment="1">
      <alignment horizontal="left" vertical="center"/>
    </xf>
    <xf numFmtId="0" fontId="18" fillId="4" borderId="48" xfId="0" applyFont="1" applyFill="1" applyBorder="1" applyAlignment="1">
      <alignment horizontal="left" vertical="center"/>
    </xf>
    <xf numFmtId="0" fontId="18" fillId="4" borderId="50" xfId="0" applyFont="1" applyFill="1" applyBorder="1" applyAlignment="1">
      <alignment horizontal="left" vertical="center"/>
    </xf>
    <xf numFmtId="0" fontId="18" fillId="4" borderId="52" xfId="0" applyFont="1" applyFill="1" applyBorder="1" applyAlignment="1">
      <alignment horizontal="left" vertical="center"/>
    </xf>
    <xf numFmtId="0" fontId="18" fillId="4" borderId="53" xfId="0" applyFont="1" applyFill="1" applyBorder="1" applyAlignment="1">
      <alignment horizontal="left" vertical="center"/>
    </xf>
    <xf numFmtId="0" fontId="18" fillId="4" borderId="58" xfId="0" applyFont="1" applyFill="1" applyBorder="1" applyAlignment="1">
      <alignment horizontal="left" vertical="center"/>
    </xf>
    <xf numFmtId="0" fontId="18" fillId="4" borderId="60" xfId="0" applyFont="1" applyFill="1" applyBorder="1" applyAlignment="1">
      <alignment horizontal="left" vertical="center"/>
    </xf>
    <xf numFmtId="0" fontId="18" fillId="4" borderId="62" xfId="0" applyFont="1" applyFill="1" applyBorder="1" applyAlignment="1">
      <alignment horizontal="left" vertical="center"/>
    </xf>
    <xf numFmtId="2" fontId="20" fillId="2" borderId="65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vertical="center" wrapText="1"/>
    </xf>
    <xf numFmtId="2" fontId="20" fillId="2" borderId="67" xfId="0" applyNumberFormat="1" applyFont="1" applyFill="1" applyBorder="1" applyAlignment="1">
      <alignment horizontal="center" vertical="center"/>
    </xf>
    <xf numFmtId="0" fontId="20" fillId="2" borderId="68" xfId="0" applyFont="1" applyFill="1" applyBorder="1" applyAlignment="1">
      <alignment vertical="center"/>
    </xf>
    <xf numFmtId="2" fontId="20" fillId="2" borderId="69" xfId="0" applyNumberFormat="1" applyFont="1" applyFill="1" applyBorder="1" applyAlignment="1">
      <alignment horizontal="center" vertical="center"/>
    </xf>
    <xf numFmtId="0" fontId="20" fillId="2" borderId="70" xfId="0" applyFont="1" applyFill="1" applyBorder="1" applyAlignment="1">
      <alignment vertical="center"/>
    </xf>
    <xf numFmtId="0" fontId="3" fillId="4" borderId="16" xfId="0" applyFont="1" applyFill="1" applyBorder="1" applyAlignment="1">
      <alignment vertical="center"/>
    </xf>
    <xf numFmtId="0" fontId="3" fillId="4" borderId="13" xfId="0" applyFont="1" applyFill="1" applyBorder="1"/>
    <xf numFmtId="0" fontId="3" fillId="4" borderId="13" xfId="0" applyFont="1" applyFill="1" applyBorder="1" applyAlignment="1">
      <alignment horizontal="center"/>
    </xf>
    <xf numFmtId="3" fontId="3" fillId="0" borderId="8" xfId="0" applyNumberFormat="1" applyFont="1" applyFill="1" applyBorder="1" applyAlignment="1" applyProtection="1">
      <alignment horizontal="left"/>
      <protection locked="0"/>
    </xf>
    <xf numFmtId="3" fontId="5" fillId="4" borderId="37" xfId="0" applyNumberFormat="1" applyFont="1" applyFill="1" applyBorder="1" applyAlignment="1">
      <alignment horizontal="center"/>
    </xf>
    <xf numFmtId="3" fontId="5" fillId="4" borderId="39" xfId="0" applyNumberFormat="1" applyFont="1" applyFill="1" applyBorder="1" applyAlignment="1">
      <alignment horizontal="center"/>
    </xf>
    <xf numFmtId="3" fontId="3" fillId="4" borderId="37" xfId="0" applyNumberFormat="1" applyFont="1" applyFill="1" applyBorder="1" applyAlignment="1">
      <alignment horizontal="center"/>
    </xf>
    <xf numFmtId="3" fontId="3" fillId="4" borderId="39" xfId="0" applyNumberFormat="1" applyFont="1" applyFill="1" applyBorder="1" applyAlignment="1">
      <alignment horizontal="center"/>
    </xf>
    <xf numFmtId="0" fontId="5" fillId="4" borderId="22" xfId="0" applyFont="1" applyFill="1" applyBorder="1" applyAlignment="1">
      <alignment horizontal="left"/>
    </xf>
    <xf numFmtId="3" fontId="3" fillId="0" borderId="4" xfId="0" applyNumberFormat="1" applyFont="1" applyFill="1" applyBorder="1" applyAlignment="1" applyProtection="1">
      <alignment horizontal="left"/>
      <protection locked="0"/>
    </xf>
    <xf numFmtId="3" fontId="3" fillId="4" borderId="37" xfId="0" applyNumberFormat="1" applyFont="1" applyFill="1" applyBorder="1"/>
    <xf numFmtId="3" fontId="3" fillId="4" borderId="39" xfId="0" applyNumberFormat="1" applyFont="1" applyFill="1" applyBorder="1"/>
    <xf numFmtId="3" fontId="3" fillId="0" borderId="5" xfId="0" applyNumberFormat="1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 wrapText="1"/>
    </xf>
    <xf numFmtId="3" fontId="5" fillId="4" borderId="19" xfId="0" applyNumberFormat="1" applyFont="1" applyFill="1" applyBorder="1" applyAlignment="1">
      <alignment horizontal="center"/>
    </xf>
    <xf numFmtId="3" fontId="5" fillId="4" borderId="20" xfId="0" applyNumberFormat="1" applyFont="1" applyFill="1" applyBorder="1" applyAlignment="1">
      <alignment horizontal="center"/>
    </xf>
    <xf numFmtId="3" fontId="5" fillId="4" borderId="21" xfId="0" applyNumberFormat="1" applyFont="1" applyFill="1" applyBorder="1" applyAlignment="1">
      <alignment horizontal="center"/>
    </xf>
    <xf numFmtId="3" fontId="5" fillId="2" borderId="19" xfId="0" applyNumberFormat="1" applyFont="1" applyFill="1" applyBorder="1" applyAlignment="1">
      <alignment horizontal="center"/>
    </xf>
    <xf numFmtId="3" fontId="5" fillId="2" borderId="20" xfId="0" applyNumberFormat="1" applyFont="1" applyFill="1" applyBorder="1" applyAlignment="1">
      <alignment horizontal="center"/>
    </xf>
    <xf numFmtId="3" fontId="5" fillId="2" borderId="21" xfId="0" applyNumberFormat="1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3" fontId="5" fillId="4" borderId="26" xfId="0" applyNumberFormat="1" applyFont="1" applyFill="1" applyBorder="1" applyAlignment="1">
      <alignment horizontal="center"/>
    </xf>
    <xf numFmtId="0" fontId="5" fillId="4" borderId="23" xfId="0" applyFont="1" applyFill="1" applyBorder="1"/>
    <xf numFmtId="0" fontId="5" fillId="4" borderId="0" xfId="0" applyFont="1" applyFill="1" applyBorder="1"/>
    <xf numFmtId="0" fontId="5" fillId="4" borderId="1" xfId="0" applyFont="1" applyFill="1" applyBorder="1"/>
    <xf numFmtId="0" fontId="3" fillId="4" borderId="24" xfId="0" applyFont="1" applyFill="1" applyBorder="1" applyAlignment="1">
      <alignment horizontal="center"/>
    </xf>
    <xf numFmtId="3" fontId="3" fillId="4" borderId="40" xfId="0" applyNumberFormat="1" applyFont="1" applyFill="1" applyBorder="1" applyAlignment="1">
      <alignment horizontal="center"/>
    </xf>
    <xf numFmtId="3" fontId="3" fillId="4" borderId="26" xfId="0" applyNumberFormat="1" applyFont="1" applyFill="1" applyBorder="1" applyAlignment="1">
      <alignment horizontal="center"/>
    </xf>
    <xf numFmtId="3" fontId="3" fillId="3" borderId="41" xfId="0" applyNumberFormat="1" applyFont="1" applyFill="1" applyBorder="1" applyAlignment="1" applyProtection="1">
      <alignment horizontal="center"/>
      <protection locked="0"/>
    </xf>
    <xf numFmtId="3" fontId="3" fillId="3" borderId="42" xfId="0" applyNumberFormat="1" applyFont="1" applyFill="1" applyBorder="1" applyAlignment="1" applyProtection="1">
      <alignment horizontal="center"/>
      <protection locked="0"/>
    </xf>
    <xf numFmtId="0" fontId="19" fillId="4" borderId="49" xfId="0" applyFont="1" applyFill="1" applyBorder="1" applyAlignment="1">
      <alignment horizontal="center" vertical="center"/>
    </xf>
    <xf numFmtId="3" fontId="19" fillId="4" borderId="51" xfId="0" applyNumberFormat="1" applyFont="1" applyFill="1" applyBorder="1" applyAlignment="1">
      <alignment horizontal="center" vertical="center"/>
    </xf>
    <xf numFmtId="3" fontId="19" fillId="4" borderId="54" xfId="0" applyNumberFormat="1" applyFont="1" applyFill="1" applyBorder="1" applyAlignment="1">
      <alignment horizontal="center" vertical="center"/>
    </xf>
    <xf numFmtId="3" fontId="19" fillId="4" borderId="57" xfId="0" applyNumberFormat="1" applyFont="1" applyFill="1" applyBorder="1" applyAlignment="1">
      <alignment horizontal="center" vertical="center"/>
    </xf>
    <xf numFmtId="3" fontId="19" fillId="4" borderId="59" xfId="0" applyNumberFormat="1" applyFont="1" applyFill="1" applyBorder="1" applyAlignment="1">
      <alignment horizontal="center" vertical="center"/>
    </xf>
    <xf numFmtId="3" fontId="19" fillId="4" borderId="6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/>
    </xf>
    <xf numFmtId="3" fontId="17" fillId="4" borderId="28" xfId="0" applyNumberFormat="1" applyFont="1" applyFill="1" applyBorder="1" applyAlignment="1">
      <alignment horizontal="center" vertical="center"/>
    </xf>
    <xf numFmtId="3" fontId="17" fillId="4" borderId="29" xfId="0" applyNumberFormat="1" applyFont="1" applyFill="1" applyBorder="1" applyAlignment="1">
      <alignment horizontal="center" vertical="center"/>
    </xf>
    <xf numFmtId="3" fontId="17" fillId="4" borderId="30" xfId="0" applyNumberFormat="1" applyFont="1" applyFill="1" applyBorder="1" applyAlignment="1">
      <alignment horizontal="center" vertical="center"/>
    </xf>
    <xf numFmtId="3" fontId="17" fillId="4" borderId="31" xfId="0" applyNumberFormat="1" applyFont="1" applyFill="1" applyBorder="1" applyAlignment="1">
      <alignment horizontal="center" vertical="center"/>
    </xf>
    <xf numFmtId="3" fontId="17" fillId="4" borderId="32" xfId="0" applyNumberFormat="1" applyFont="1" applyFill="1" applyBorder="1" applyAlignment="1">
      <alignment horizontal="center" vertical="center"/>
    </xf>
    <xf numFmtId="3" fontId="17" fillId="4" borderId="33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wrapText="1"/>
    </xf>
    <xf numFmtId="3" fontId="17" fillId="4" borderId="11" xfId="0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4" borderId="25" xfId="0" applyNumberFormat="1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left"/>
    </xf>
    <xf numFmtId="0" fontId="5" fillId="4" borderId="24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5" fillId="4" borderId="24" xfId="0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left" vertical="center"/>
    </xf>
    <xf numFmtId="0" fontId="12" fillId="4" borderId="46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2" fillId="4" borderId="55" xfId="0" applyFont="1" applyFill="1" applyBorder="1" applyAlignment="1">
      <alignment horizontal="center" vertical="center"/>
    </xf>
    <xf numFmtId="0" fontId="12" fillId="4" borderId="56" xfId="0" applyFont="1" applyFill="1" applyBorder="1" applyAlignment="1">
      <alignment horizontal="center" vertical="center"/>
    </xf>
    <xf numFmtId="0" fontId="21" fillId="2" borderId="63" xfId="0" applyFont="1" applyFill="1" applyBorder="1" applyAlignment="1">
      <alignment horizontal="center" vertical="center"/>
    </xf>
    <xf numFmtId="0" fontId="21" fillId="2" borderId="6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CBB16"/>
      <color rgb="FFFF9933"/>
      <color rgb="FF006633"/>
      <color rgb="FF993300"/>
      <color rgb="FF0077BB"/>
      <color rgb="FF005577"/>
      <color rgb="FFFFEFC7"/>
      <color rgb="FFC8DED4"/>
      <color rgb="FFFFBB88"/>
      <color rgb="FFCCEE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'Sales by Month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'Purchases by Month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'Brandings by Month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hyperlink" Target="#Output!A1"/><Relationship Id="rId1" Type="http://schemas.openxmlformats.org/officeDocument/2006/relationships/hyperlink" Target="#'Brandings by Month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5</xdr:row>
      <xdr:rowOff>330200</xdr:rowOff>
    </xdr:from>
    <xdr:to>
      <xdr:col>5</xdr:col>
      <xdr:colOff>666377</xdr:colOff>
      <xdr:row>7</xdr:row>
      <xdr:rowOff>736600</xdr:rowOff>
    </xdr:to>
    <xdr:sp macro="" textlink="">
      <xdr:nvSpPr>
        <xdr:cNvPr id="3" name="Right Brace 2"/>
        <xdr:cNvSpPr/>
      </xdr:nvSpPr>
      <xdr:spPr>
        <a:xfrm>
          <a:off x="8356600" y="3657600"/>
          <a:ext cx="590177" cy="1168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0</xdr:col>
      <xdr:colOff>2158997</xdr:colOff>
      <xdr:row>1</xdr:row>
      <xdr:rowOff>197974</xdr:rowOff>
    </xdr:from>
    <xdr:to>
      <xdr:col>4</xdr:col>
      <xdr:colOff>634991</xdr:colOff>
      <xdr:row>2</xdr:row>
      <xdr:rowOff>179917</xdr:rowOff>
    </xdr:to>
    <xdr:sp macro="" textlink="">
      <xdr:nvSpPr>
        <xdr:cNvPr id="5" name="TextBox 4"/>
        <xdr:cNvSpPr txBox="1"/>
      </xdr:nvSpPr>
      <xdr:spPr>
        <a:xfrm>
          <a:off x="2158997" y="1446807"/>
          <a:ext cx="5831411" cy="701610"/>
        </a:xfrm>
        <a:prstGeom prst="rect">
          <a:avLst/>
        </a:prstGeom>
        <a:solidFill>
          <a:srgbClr val="993300"/>
        </a:solidFill>
        <a:ln w="9525" cmpd="sng">
          <a:solidFill>
            <a:srgbClr val="9933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spcAft>
              <a:spcPts val="300"/>
            </a:spcAft>
          </a:pPr>
          <a:r>
            <a:rPr lang="en-AU" sz="12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Instructions: </a:t>
          </a:r>
          <a:r>
            <a:rPr lang="en-AU" sz="1200" b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Enter your data</a:t>
          </a:r>
          <a:r>
            <a:rPr lang="en-AU" sz="1200" b="0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</a:t>
          </a:r>
          <a:r>
            <a:rPr lang="en-AU" sz="1200" b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into the dark yellow shaded areas. </a:t>
          </a:r>
        </a:p>
        <a:p>
          <a:pPr algn="l">
            <a:spcAft>
              <a:spcPts val="300"/>
            </a:spcAft>
          </a:pPr>
          <a:r>
            <a:rPr lang="en-AU" sz="1200" b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Work your way through</a:t>
          </a:r>
          <a:r>
            <a:rPr lang="en-AU" sz="1200" b="0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the 4 input tabs: </a:t>
          </a:r>
          <a:r>
            <a:rPr lang="en-AU" sz="1200" b="0" i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Data entry </a:t>
          </a:r>
          <a:r>
            <a:rPr lang="en-AU" sz="1200" b="0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(this one), </a:t>
          </a:r>
          <a:r>
            <a:rPr lang="en-AU" sz="1200" b="0" i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Sales by Month</a:t>
          </a:r>
          <a:r>
            <a:rPr lang="en-AU" sz="1200" b="0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, </a:t>
          </a:r>
          <a:r>
            <a:rPr lang="en-AU" sz="1200" b="0" i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Purchases by Month, Brandings by Month</a:t>
          </a:r>
          <a:r>
            <a:rPr lang="en-AU" sz="1200" b="0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. Then review results on </a:t>
          </a:r>
          <a:r>
            <a:rPr lang="en-AU" sz="1200" b="0" i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Output tab</a:t>
          </a:r>
          <a:r>
            <a:rPr lang="en-AU" sz="1200" b="0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. </a:t>
          </a:r>
          <a:endParaRPr lang="en-AU" sz="1200" b="0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692149</xdr:colOff>
      <xdr:row>6</xdr:row>
      <xdr:rowOff>63499</xdr:rowOff>
    </xdr:from>
    <xdr:to>
      <xdr:col>7</xdr:col>
      <xdr:colOff>489196</xdr:colOff>
      <xdr:row>7</xdr:row>
      <xdr:rowOff>520701</xdr:rowOff>
    </xdr:to>
    <xdr:sp macro="" textlink="">
      <xdr:nvSpPr>
        <xdr:cNvPr id="6" name="TextBox 5"/>
        <xdr:cNvSpPr txBox="1"/>
      </xdr:nvSpPr>
      <xdr:spPr>
        <a:xfrm>
          <a:off x="8972549" y="3771899"/>
          <a:ext cx="2184647" cy="838202"/>
        </a:xfrm>
        <a:prstGeom prst="rect">
          <a:avLst/>
        </a:prstGeom>
        <a:solidFill>
          <a:srgbClr val="FFBB88"/>
        </a:solidFill>
        <a:ln w="9525" cmpd="sng">
          <a:solidFill>
            <a:srgbClr val="9933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100" b="1" i="0">
              <a:latin typeface="Arial" pitchFamily="34" charset="0"/>
              <a:cs typeface="Arial" pitchFamily="34" charset="0"/>
            </a:rPr>
            <a:t>Note: </a:t>
          </a:r>
          <a:r>
            <a:rPr lang="en-AU" sz="1100" i="0">
              <a:latin typeface="Arial" pitchFamily="34" charset="0"/>
              <a:cs typeface="Arial" pitchFamily="34" charset="0"/>
            </a:rPr>
            <a:t>Enter another figure if appropriate for your situation. </a:t>
          </a:r>
        </a:p>
        <a:p>
          <a:pPr algn="ctr"/>
          <a:r>
            <a:rPr lang="en-AU" sz="1100" i="0">
              <a:latin typeface="Arial" pitchFamily="34" charset="0"/>
              <a:cs typeface="Arial" pitchFamily="34" charset="0"/>
            </a:rPr>
            <a:t>Must be between 0 and 1.</a:t>
          </a:r>
        </a:p>
      </xdr:txBody>
    </xdr:sp>
    <xdr:clientData/>
  </xdr:twoCellAnchor>
  <xdr:twoCellAnchor>
    <xdr:from>
      <xdr:col>6</xdr:col>
      <xdr:colOff>355600</xdr:colOff>
      <xdr:row>21</xdr:row>
      <xdr:rowOff>241300</xdr:rowOff>
    </xdr:from>
    <xdr:to>
      <xdr:col>7</xdr:col>
      <xdr:colOff>609600</xdr:colOff>
      <xdr:row>22</xdr:row>
      <xdr:rowOff>279400</xdr:rowOff>
    </xdr:to>
    <xdr:grpSp>
      <xdr:nvGrpSpPr>
        <xdr:cNvPr id="10" name="Group 9"/>
        <xdr:cNvGrpSpPr/>
      </xdr:nvGrpSpPr>
      <xdr:grpSpPr>
        <a:xfrm>
          <a:off x="10109200" y="8877300"/>
          <a:ext cx="1168400" cy="330200"/>
          <a:chOff x="10107089" y="7874000"/>
          <a:chExt cx="941910" cy="264582"/>
        </a:xfrm>
        <a:effectLst>
          <a:glow rad="139700">
            <a:srgbClr val="FCBB16">
              <a:alpha val="40000"/>
            </a:srgbClr>
          </a:glow>
        </a:effectLst>
      </xdr:grpSpPr>
      <xdr:sp macro="" textlink="">
        <xdr:nvSpPr>
          <xdr:cNvPr id="7" name="Pentagon 6"/>
          <xdr:cNvSpPr/>
        </xdr:nvSpPr>
        <xdr:spPr>
          <a:xfrm>
            <a:off x="10107089" y="7874000"/>
            <a:ext cx="941910" cy="264582"/>
          </a:xfrm>
          <a:prstGeom prst="homePlate">
            <a:avLst/>
          </a:prstGeom>
          <a:solidFill>
            <a:srgbClr val="993300"/>
          </a:solidFill>
          <a:ln>
            <a:solidFill>
              <a:srgbClr val="9933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AU" sz="1100"/>
          </a:p>
        </xdr:txBody>
      </xdr:sp>
      <xdr:sp macro="" textlink="">
        <xdr:nvSpPr>
          <xdr:cNvPr id="4" name="TextBox 3">
            <a:hlinkClick xmlns:r="http://schemas.openxmlformats.org/officeDocument/2006/relationships" r:id="rId1"/>
          </xdr:cNvPr>
          <xdr:cNvSpPr txBox="1"/>
        </xdr:nvSpPr>
        <xdr:spPr>
          <a:xfrm>
            <a:off x="10128252" y="7895167"/>
            <a:ext cx="751415" cy="222250"/>
          </a:xfrm>
          <a:prstGeom prst="rect">
            <a:avLst/>
          </a:prstGeom>
          <a:gradFill flip="none" rotWithShape="1">
            <a:gsLst>
              <a:gs pos="0">
                <a:schemeClr val="bg1"/>
              </a:gs>
              <a:gs pos="50000">
                <a:schemeClr val="bg1"/>
              </a:gs>
              <a:gs pos="100000">
                <a:srgbClr val="993300"/>
              </a:gs>
            </a:gsLst>
            <a:lin ang="600000" scaled="0"/>
            <a:tileRect/>
          </a:gra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AU" sz="1200" b="1" u="sng">
                <a:solidFill>
                  <a:schemeClr val="tx1"/>
                </a:solidFill>
                <a:latin typeface="Arial" pitchFamily="34" charset="0"/>
                <a:cs typeface="Arial" pitchFamily="34" charset="0"/>
              </a:rPr>
              <a:t>Next </a:t>
            </a:r>
          </a:p>
        </xdr:txBody>
      </xdr:sp>
    </xdr:grpSp>
    <xdr:clientData/>
  </xdr:twoCellAnchor>
  <xdr:oneCellAnchor>
    <xdr:from>
      <xdr:col>5</xdr:col>
      <xdr:colOff>533400</xdr:colOff>
      <xdr:row>0</xdr:row>
      <xdr:rowOff>101600</xdr:rowOff>
    </xdr:from>
    <xdr:ext cx="1837765" cy="1038946"/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466"/>
        <a:stretch/>
      </xdr:blipFill>
      <xdr:spPr>
        <a:xfrm>
          <a:off x="8813800" y="101600"/>
          <a:ext cx="1837765" cy="103894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55033</xdr:colOff>
      <xdr:row>0</xdr:row>
      <xdr:rowOff>42333</xdr:rowOff>
    </xdr:from>
    <xdr:to>
      <xdr:col>0</xdr:col>
      <xdr:colOff>1534585</xdr:colOff>
      <xdr:row>4</xdr:row>
      <xdr:rowOff>127001</xdr:rowOff>
    </xdr:to>
    <xdr:grpSp>
      <xdr:nvGrpSpPr>
        <xdr:cNvPr id="4" name="Group 3"/>
        <xdr:cNvGrpSpPr/>
      </xdr:nvGrpSpPr>
      <xdr:grpSpPr>
        <a:xfrm>
          <a:off x="55033" y="42333"/>
          <a:ext cx="1479552" cy="1788585"/>
          <a:chOff x="6666533" y="5482382"/>
          <a:chExt cx="1706716" cy="1547068"/>
        </a:xfrm>
      </xdr:grpSpPr>
      <xdr:sp macro="" textlink="">
        <xdr:nvSpPr>
          <xdr:cNvPr id="2" name="Right Arrow Callout 1"/>
          <xdr:cNvSpPr/>
        </xdr:nvSpPr>
        <xdr:spPr>
          <a:xfrm>
            <a:off x="6724651" y="5482382"/>
            <a:ext cx="1648598" cy="1547068"/>
          </a:xfrm>
          <a:prstGeom prst="rightArrowCallout">
            <a:avLst>
              <a:gd name="adj1" fmla="val 21429"/>
              <a:gd name="adj2" fmla="val 20817"/>
              <a:gd name="adj3" fmla="val 20834"/>
              <a:gd name="adj4" fmla="val 72218"/>
            </a:avLst>
          </a:prstGeom>
          <a:noFill/>
          <a:ln>
            <a:solidFill>
              <a:srgbClr val="9933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AU" sz="1100"/>
          </a:p>
        </xdr:txBody>
      </xdr:sp>
      <xdr:sp macro="" textlink="">
        <xdr:nvSpPr>
          <xdr:cNvPr id="3" name="TextBox 2"/>
          <xdr:cNvSpPr txBox="1"/>
        </xdr:nvSpPr>
        <xdr:spPr>
          <a:xfrm>
            <a:off x="6666533" y="5539680"/>
            <a:ext cx="1286842" cy="14488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lang="en-AU" sz="1100">
                <a:latin typeface="Arial" pitchFamily="34" charset="0"/>
                <a:cs typeface="Arial" pitchFamily="34" charset="0"/>
              </a:rPr>
              <a:t>Enter:</a:t>
            </a:r>
          </a:p>
          <a:p>
            <a:endParaRPr lang="en-AU" sz="1100">
              <a:latin typeface="Arial" pitchFamily="34" charset="0"/>
              <a:cs typeface="Arial" pitchFamily="34" charset="0"/>
            </a:endParaRPr>
          </a:p>
          <a:p>
            <a:r>
              <a:rPr lang="en-AU" sz="1100" b="1">
                <a:latin typeface="Arial" pitchFamily="34" charset="0"/>
                <a:cs typeface="Arial" pitchFamily="34" charset="0"/>
              </a:rPr>
              <a:t>1</a:t>
            </a:r>
            <a:r>
              <a:rPr lang="en-AU" sz="1100">
                <a:latin typeface="Arial" pitchFamily="34" charset="0"/>
                <a:cs typeface="Arial" pitchFamily="34" charset="0"/>
              </a:rPr>
              <a:t> if you want to use calendar year, </a:t>
            </a:r>
          </a:p>
          <a:p>
            <a:endParaRPr lang="en-AU" sz="1100" b="1">
              <a:latin typeface="Arial" pitchFamily="34" charset="0"/>
              <a:cs typeface="Arial" pitchFamily="34" charset="0"/>
            </a:endParaRPr>
          </a:p>
          <a:p>
            <a:r>
              <a:rPr lang="en-AU" sz="1100" b="1">
                <a:latin typeface="Arial" pitchFamily="34" charset="0"/>
                <a:cs typeface="Arial" pitchFamily="34" charset="0"/>
              </a:rPr>
              <a:t>2</a:t>
            </a:r>
            <a:r>
              <a:rPr lang="en-AU" sz="1100">
                <a:latin typeface="Arial" pitchFamily="34" charset="0"/>
                <a:cs typeface="Arial" pitchFamily="34" charset="0"/>
              </a:rPr>
              <a:t> if you want to use financial year.</a:t>
            </a:r>
          </a:p>
        </xdr:txBody>
      </xdr:sp>
    </xdr:grpSp>
    <xdr:clientData/>
  </xdr:twoCellAnchor>
  <xdr:twoCellAnchor>
    <xdr:from>
      <xdr:col>3</xdr:col>
      <xdr:colOff>139700</xdr:colOff>
      <xdr:row>1</xdr:row>
      <xdr:rowOff>401108</xdr:rowOff>
    </xdr:from>
    <xdr:to>
      <xdr:col>6</xdr:col>
      <xdr:colOff>558800</xdr:colOff>
      <xdr:row>3</xdr:row>
      <xdr:rowOff>190500</xdr:rowOff>
    </xdr:to>
    <xdr:sp macro="" textlink="">
      <xdr:nvSpPr>
        <xdr:cNvPr id="5" name="TextBox 4"/>
        <xdr:cNvSpPr txBox="1"/>
      </xdr:nvSpPr>
      <xdr:spPr>
        <a:xfrm>
          <a:off x="3134783" y="739775"/>
          <a:ext cx="2578100" cy="625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>
              <a:latin typeface="Arial" pitchFamily="34" charset="0"/>
              <a:cs typeface="Arial" pitchFamily="34" charset="0"/>
            </a:rPr>
            <a:t>Note:</a:t>
          </a:r>
          <a:r>
            <a:rPr lang="en-AU" sz="1100">
              <a:latin typeface="Arial" pitchFamily="34" charset="0"/>
              <a:cs typeface="Arial" pitchFamily="34" charset="0"/>
            </a:rPr>
            <a:t> Use the same 12 month period as your other estimates of cattle numbers</a:t>
          </a:r>
        </a:p>
      </xdr:txBody>
    </xdr:sp>
    <xdr:clientData/>
  </xdr:twoCellAnchor>
  <xdr:twoCellAnchor>
    <xdr:from>
      <xdr:col>2</xdr:col>
      <xdr:colOff>140758</xdr:colOff>
      <xdr:row>2</xdr:row>
      <xdr:rowOff>79375</xdr:rowOff>
    </xdr:from>
    <xdr:to>
      <xdr:col>3</xdr:col>
      <xdr:colOff>16933</xdr:colOff>
      <xdr:row>2</xdr:row>
      <xdr:rowOff>260350</xdr:rowOff>
    </xdr:to>
    <xdr:sp macro="" textlink="">
      <xdr:nvSpPr>
        <xdr:cNvPr id="6" name="Right Arrow 5"/>
        <xdr:cNvSpPr/>
      </xdr:nvSpPr>
      <xdr:spPr>
        <a:xfrm>
          <a:off x="2416175" y="904875"/>
          <a:ext cx="595841" cy="180975"/>
        </a:xfrm>
        <a:prstGeom prst="rightArrow">
          <a:avLst/>
        </a:prstGeom>
        <a:solidFill>
          <a:srgbClr val="FCBB16"/>
        </a:solidFill>
        <a:ln>
          <a:solidFill>
            <a:srgbClr val="9933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0</xdr:col>
      <xdr:colOff>1543050</xdr:colOff>
      <xdr:row>0</xdr:row>
      <xdr:rowOff>1228725</xdr:rowOff>
    </xdr:from>
    <xdr:to>
      <xdr:col>2</xdr:col>
      <xdr:colOff>9525</xdr:colOff>
      <xdr:row>1</xdr:row>
      <xdr:rowOff>0</xdr:rowOff>
    </xdr:to>
    <xdr:sp macro="" textlink="">
      <xdr:nvSpPr>
        <xdr:cNvPr id="8" name="Rectangle 7"/>
        <xdr:cNvSpPr/>
      </xdr:nvSpPr>
      <xdr:spPr>
        <a:xfrm>
          <a:off x="1543050" y="1228725"/>
          <a:ext cx="733425" cy="733425"/>
        </a:xfrm>
        <a:prstGeom prst="rect">
          <a:avLst/>
        </a:prstGeom>
        <a:solidFill>
          <a:srgbClr val="FFEFC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402178</xdr:colOff>
      <xdr:row>25</xdr:row>
      <xdr:rowOff>158750</xdr:rowOff>
    </xdr:from>
    <xdr:to>
      <xdr:col>3</xdr:col>
      <xdr:colOff>624420</xdr:colOff>
      <xdr:row>27</xdr:row>
      <xdr:rowOff>42332</xdr:rowOff>
    </xdr:to>
    <xdr:grpSp>
      <xdr:nvGrpSpPr>
        <xdr:cNvPr id="13" name="Group 12"/>
        <xdr:cNvGrpSpPr/>
      </xdr:nvGrpSpPr>
      <xdr:grpSpPr>
        <a:xfrm>
          <a:off x="2952761" y="6275917"/>
          <a:ext cx="1217076" cy="264582"/>
          <a:chOff x="10107089" y="7874000"/>
          <a:chExt cx="941910" cy="264582"/>
        </a:xfrm>
        <a:effectLst>
          <a:glow rad="139700">
            <a:srgbClr val="FCBB16">
              <a:alpha val="40000"/>
            </a:srgbClr>
          </a:glow>
        </a:effectLst>
      </xdr:grpSpPr>
      <xdr:sp macro="" textlink="">
        <xdr:nvSpPr>
          <xdr:cNvPr id="14" name="Pentagon 13"/>
          <xdr:cNvSpPr/>
        </xdr:nvSpPr>
        <xdr:spPr>
          <a:xfrm>
            <a:off x="10107089" y="7874000"/>
            <a:ext cx="941910" cy="264582"/>
          </a:xfrm>
          <a:prstGeom prst="homePlate">
            <a:avLst/>
          </a:prstGeom>
          <a:solidFill>
            <a:srgbClr val="993300"/>
          </a:solidFill>
          <a:ln>
            <a:solidFill>
              <a:srgbClr val="9933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AU" sz="1100"/>
          </a:p>
        </xdr:txBody>
      </xdr:sp>
      <xdr:sp macro="" textlink="">
        <xdr:nvSpPr>
          <xdr:cNvPr id="15" name="TextBox 14">
            <a:hlinkClick xmlns:r="http://schemas.openxmlformats.org/officeDocument/2006/relationships" r:id="rId1"/>
          </xdr:cNvPr>
          <xdr:cNvSpPr txBox="1"/>
        </xdr:nvSpPr>
        <xdr:spPr>
          <a:xfrm>
            <a:off x="10128252" y="7895167"/>
            <a:ext cx="751415" cy="222250"/>
          </a:xfrm>
          <a:prstGeom prst="rect">
            <a:avLst/>
          </a:prstGeom>
          <a:gradFill flip="none" rotWithShape="1">
            <a:gsLst>
              <a:gs pos="0">
                <a:schemeClr val="bg1"/>
              </a:gs>
              <a:gs pos="50000">
                <a:schemeClr val="bg1"/>
              </a:gs>
              <a:gs pos="100000">
                <a:srgbClr val="993300"/>
              </a:gs>
            </a:gsLst>
            <a:lin ang="600000" scaled="0"/>
            <a:tileRect/>
          </a:gra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AU" sz="1200" b="1" u="sng">
                <a:solidFill>
                  <a:schemeClr val="tx1"/>
                </a:solidFill>
                <a:latin typeface="Arial" pitchFamily="34" charset="0"/>
                <a:cs typeface="Arial" pitchFamily="34" charset="0"/>
              </a:rPr>
              <a:t>Next </a:t>
            </a:r>
          </a:p>
        </xdr:txBody>
      </xdr:sp>
    </xdr:grpSp>
    <xdr:clientData/>
  </xdr:twoCellAnchor>
  <xdr:oneCellAnchor>
    <xdr:from>
      <xdr:col>13</xdr:col>
      <xdr:colOff>592667</xdr:colOff>
      <xdr:row>0</xdr:row>
      <xdr:rowOff>42332</xdr:rowOff>
    </xdr:from>
    <xdr:ext cx="1837765" cy="1038946"/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466"/>
        <a:stretch/>
      </xdr:blipFill>
      <xdr:spPr>
        <a:xfrm>
          <a:off x="12489392" y="42332"/>
          <a:ext cx="1837765" cy="103894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99485</xdr:colOff>
      <xdr:row>2</xdr:row>
      <xdr:rowOff>73023</xdr:rowOff>
    </xdr:from>
    <xdr:to>
      <xdr:col>2</xdr:col>
      <xdr:colOff>695326</xdr:colOff>
      <xdr:row>2</xdr:row>
      <xdr:rowOff>285748</xdr:rowOff>
    </xdr:to>
    <xdr:sp macro="" textlink="">
      <xdr:nvSpPr>
        <xdr:cNvPr id="28" name="Right Arrow 27"/>
        <xdr:cNvSpPr/>
      </xdr:nvSpPr>
      <xdr:spPr>
        <a:xfrm>
          <a:off x="2544235" y="898523"/>
          <a:ext cx="595841" cy="212725"/>
        </a:xfrm>
        <a:prstGeom prst="rightArrow">
          <a:avLst/>
        </a:prstGeom>
        <a:solidFill>
          <a:srgbClr val="FCBB16"/>
        </a:solidFill>
        <a:ln>
          <a:solidFill>
            <a:srgbClr val="9933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0</xdr:col>
      <xdr:colOff>55035</xdr:colOff>
      <xdr:row>0</xdr:row>
      <xdr:rowOff>31750</xdr:rowOff>
    </xdr:from>
    <xdr:to>
      <xdr:col>0</xdr:col>
      <xdr:colOff>1513421</xdr:colOff>
      <xdr:row>5</xdr:row>
      <xdr:rowOff>84666</xdr:rowOff>
    </xdr:to>
    <xdr:grpSp>
      <xdr:nvGrpSpPr>
        <xdr:cNvPr id="52" name="Group 51"/>
        <xdr:cNvGrpSpPr/>
      </xdr:nvGrpSpPr>
      <xdr:grpSpPr>
        <a:xfrm>
          <a:off x="55035" y="31750"/>
          <a:ext cx="1458386" cy="1947333"/>
          <a:chOff x="6690949" y="5482382"/>
          <a:chExt cx="1682300" cy="1547068"/>
        </a:xfrm>
      </xdr:grpSpPr>
      <xdr:sp macro="" textlink="">
        <xdr:nvSpPr>
          <xdr:cNvPr id="53" name="Right Arrow Callout 52"/>
          <xdr:cNvSpPr/>
        </xdr:nvSpPr>
        <xdr:spPr>
          <a:xfrm>
            <a:off x="6724651" y="5482382"/>
            <a:ext cx="1648598" cy="1547068"/>
          </a:xfrm>
          <a:prstGeom prst="rightArrowCallout">
            <a:avLst>
              <a:gd name="adj1" fmla="val 21429"/>
              <a:gd name="adj2" fmla="val 20817"/>
              <a:gd name="adj3" fmla="val 20834"/>
              <a:gd name="adj4" fmla="val 72218"/>
            </a:avLst>
          </a:prstGeom>
          <a:noFill/>
          <a:ln w="25400" cap="flat" cmpd="sng" algn="ctr">
            <a:solidFill>
              <a:srgbClr val="9933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AU" sz="11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54" name="TextBox 53"/>
          <xdr:cNvSpPr txBox="1"/>
        </xdr:nvSpPr>
        <xdr:spPr>
          <a:xfrm>
            <a:off x="6690949" y="5482383"/>
            <a:ext cx="1389297" cy="13778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ctr" anchorCtr="1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AU" sz="1100" b="0" i="0" u="none" strike="noStrike" kern="0" cap="none" spc="0" normalizeH="0" baseline="0" noProof="0" smtClean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Enter: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AU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AU" sz="1100" b="1" i="0" u="none" strike="noStrike" kern="0" cap="none" spc="0" normalizeH="0" baseline="0" noProof="0" smtClean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1</a:t>
            </a:r>
            <a:r>
              <a:rPr kumimoji="0" lang="en-AU" sz="1100" b="0" i="0" u="none" strike="noStrike" kern="0" cap="none" spc="0" normalizeH="0" baseline="0" noProof="0" smtClean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 if you want to use calendar year,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AU" sz="11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AU" sz="1100" b="1" i="0" u="none" strike="noStrike" kern="0" cap="none" spc="0" normalizeH="0" baseline="0" noProof="0" smtClean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2</a:t>
            </a:r>
            <a:r>
              <a:rPr kumimoji="0" lang="en-AU" sz="1100" b="0" i="0" u="none" strike="noStrike" kern="0" cap="none" spc="0" normalizeH="0" baseline="0" noProof="0" smtClean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 if you want to use financial year.</a:t>
            </a:r>
          </a:p>
        </xdr:txBody>
      </xdr:sp>
    </xdr:grpSp>
    <xdr:clientData/>
  </xdr:twoCellAnchor>
  <xdr:twoCellAnchor>
    <xdr:from>
      <xdr:col>2</xdr:col>
      <xdr:colOff>465671</xdr:colOff>
      <xdr:row>25</xdr:row>
      <xdr:rowOff>126999</xdr:rowOff>
    </xdr:from>
    <xdr:to>
      <xdr:col>3</xdr:col>
      <xdr:colOff>507997</xdr:colOff>
      <xdr:row>27</xdr:row>
      <xdr:rowOff>10581</xdr:rowOff>
    </xdr:to>
    <xdr:grpSp>
      <xdr:nvGrpSpPr>
        <xdr:cNvPr id="13" name="Group 12">
          <a:hlinkClick xmlns:r="http://schemas.openxmlformats.org/officeDocument/2006/relationships" r:id="rId1"/>
        </xdr:cNvPr>
        <xdr:cNvGrpSpPr/>
      </xdr:nvGrpSpPr>
      <xdr:grpSpPr>
        <a:xfrm>
          <a:off x="3016254" y="6244166"/>
          <a:ext cx="1037160" cy="264582"/>
          <a:chOff x="10107089" y="7874000"/>
          <a:chExt cx="941910" cy="264582"/>
        </a:xfrm>
        <a:effectLst>
          <a:glow rad="139700">
            <a:srgbClr val="FCBB16">
              <a:alpha val="40000"/>
            </a:srgbClr>
          </a:glow>
        </a:effectLst>
      </xdr:grpSpPr>
      <xdr:sp macro="" textlink="">
        <xdr:nvSpPr>
          <xdr:cNvPr id="14" name="Pentagon 13"/>
          <xdr:cNvSpPr/>
        </xdr:nvSpPr>
        <xdr:spPr>
          <a:xfrm>
            <a:off x="10107089" y="7874000"/>
            <a:ext cx="941910" cy="264582"/>
          </a:xfrm>
          <a:prstGeom prst="homePlate">
            <a:avLst/>
          </a:prstGeom>
          <a:solidFill>
            <a:srgbClr val="993300"/>
          </a:solidFill>
          <a:ln>
            <a:solidFill>
              <a:srgbClr val="9933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AU" sz="1100"/>
          </a:p>
        </xdr:txBody>
      </xdr:sp>
      <xdr:sp macro="" textlink="">
        <xdr:nvSpPr>
          <xdr:cNvPr id="15" name="TextBox 14">
            <a:hlinkClick xmlns:r="http://schemas.openxmlformats.org/officeDocument/2006/relationships" r:id="rId1"/>
          </xdr:cNvPr>
          <xdr:cNvSpPr txBox="1"/>
        </xdr:nvSpPr>
        <xdr:spPr>
          <a:xfrm>
            <a:off x="10128252" y="7895167"/>
            <a:ext cx="751415" cy="222250"/>
          </a:xfrm>
          <a:prstGeom prst="rect">
            <a:avLst/>
          </a:prstGeom>
          <a:gradFill flip="none" rotWithShape="1">
            <a:gsLst>
              <a:gs pos="0">
                <a:schemeClr val="bg1"/>
              </a:gs>
              <a:gs pos="50000">
                <a:schemeClr val="bg1"/>
              </a:gs>
              <a:gs pos="100000">
                <a:srgbClr val="993300"/>
              </a:gs>
            </a:gsLst>
            <a:lin ang="600000" scaled="0"/>
            <a:tileRect/>
          </a:gra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AU" sz="1200" b="1" u="sng">
                <a:solidFill>
                  <a:schemeClr val="tx1"/>
                </a:solidFill>
                <a:latin typeface="Arial" pitchFamily="34" charset="0"/>
                <a:cs typeface="Arial" pitchFamily="34" charset="0"/>
              </a:rPr>
              <a:t>Next</a:t>
            </a:r>
            <a:r>
              <a:rPr lang="en-AU" sz="1200" b="1">
                <a:solidFill>
                  <a:schemeClr val="tx1"/>
                </a:solidFill>
                <a:latin typeface="Arial" pitchFamily="34" charset="0"/>
                <a:cs typeface="Arial" pitchFamily="34" charset="0"/>
              </a:rPr>
              <a:t> </a:t>
            </a:r>
          </a:p>
        </xdr:txBody>
      </xdr:sp>
    </xdr:grpSp>
    <xdr:clientData/>
  </xdr:twoCellAnchor>
  <xdr:twoCellAnchor>
    <xdr:from>
      <xdr:col>2</xdr:col>
      <xdr:colOff>698506</xdr:colOff>
      <xdr:row>1</xdr:row>
      <xdr:rowOff>465667</xdr:rowOff>
    </xdr:from>
    <xdr:to>
      <xdr:col>6</xdr:col>
      <xdr:colOff>143939</xdr:colOff>
      <xdr:row>3</xdr:row>
      <xdr:rowOff>255059</xdr:rowOff>
    </xdr:to>
    <xdr:sp macro="" textlink="">
      <xdr:nvSpPr>
        <xdr:cNvPr id="11" name="TextBox 10"/>
        <xdr:cNvSpPr txBox="1"/>
      </xdr:nvSpPr>
      <xdr:spPr>
        <a:xfrm>
          <a:off x="3249089" y="804334"/>
          <a:ext cx="3064933" cy="625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>
              <a:latin typeface="Arial" pitchFamily="34" charset="0"/>
              <a:cs typeface="Arial" pitchFamily="34" charset="0"/>
            </a:rPr>
            <a:t>Note:</a:t>
          </a:r>
          <a:r>
            <a:rPr lang="en-AU" sz="1100">
              <a:latin typeface="Arial" pitchFamily="34" charset="0"/>
              <a:cs typeface="Arial" pitchFamily="34" charset="0"/>
            </a:rPr>
            <a:t> Use the same 12 month period as your other estimates of cattle numbers</a:t>
          </a:r>
        </a:p>
      </xdr:txBody>
    </xdr:sp>
    <xdr:clientData/>
  </xdr:twoCellAnchor>
  <xdr:oneCellAnchor>
    <xdr:from>
      <xdr:col>13</xdr:col>
      <xdr:colOff>613832</xdr:colOff>
      <xdr:row>0</xdr:row>
      <xdr:rowOff>74083</xdr:rowOff>
    </xdr:from>
    <xdr:ext cx="1837765" cy="1038946"/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466"/>
        <a:stretch/>
      </xdr:blipFill>
      <xdr:spPr>
        <a:xfrm>
          <a:off x="12510557" y="74083"/>
          <a:ext cx="1837765" cy="103894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55035</xdr:colOff>
      <xdr:row>0</xdr:row>
      <xdr:rowOff>110065</xdr:rowOff>
    </xdr:from>
    <xdr:to>
      <xdr:col>0</xdr:col>
      <xdr:colOff>1534587</xdr:colOff>
      <xdr:row>4</xdr:row>
      <xdr:rowOff>33866</xdr:rowOff>
    </xdr:to>
    <xdr:grpSp>
      <xdr:nvGrpSpPr>
        <xdr:cNvPr id="37" name="Group 36"/>
        <xdr:cNvGrpSpPr/>
      </xdr:nvGrpSpPr>
      <xdr:grpSpPr>
        <a:xfrm>
          <a:off x="55035" y="110065"/>
          <a:ext cx="1479552" cy="1627718"/>
          <a:chOff x="6666533" y="5482382"/>
          <a:chExt cx="1706716" cy="1547068"/>
        </a:xfrm>
      </xdr:grpSpPr>
      <xdr:sp macro="" textlink="">
        <xdr:nvSpPr>
          <xdr:cNvPr id="38" name="Right Arrow Callout 37"/>
          <xdr:cNvSpPr/>
        </xdr:nvSpPr>
        <xdr:spPr>
          <a:xfrm>
            <a:off x="6724651" y="5482382"/>
            <a:ext cx="1648598" cy="1547068"/>
          </a:xfrm>
          <a:prstGeom prst="rightArrowCallout">
            <a:avLst>
              <a:gd name="adj1" fmla="val 21429"/>
              <a:gd name="adj2" fmla="val 20817"/>
              <a:gd name="adj3" fmla="val 20834"/>
              <a:gd name="adj4" fmla="val 72218"/>
            </a:avLst>
          </a:prstGeom>
          <a:noFill/>
          <a:ln w="25400" cap="flat" cmpd="sng" algn="ctr">
            <a:solidFill>
              <a:srgbClr val="9933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AU" sz="11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39" name="TextBox 38"/>
          <xdr:cNvSpPr txBox="1"/>
        </xdr:nvSpPr>
        <xdr:spPr>
          <a:xfrm>
            <a:off x="6666533" y="5539680"/>
            <a:ext cx="1286842" cy="1448841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ctr" anchorCtr="1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AU" sz="1100" b="0" i="0" u="none" strike="noStrike" kern="0" cap="none" spc="0" normalizeH="0" baseline="0" noProof="0" smtClean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Enter: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AU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AU" sz="1100" b="1" i="0" u="none" strike="noStrike" kern="0" cap="none" spc="0" normalizeH="0" baseline="0" noProof="0" smtClean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1</a:t>
            </a:r>
            <a:r>
              <a:rPr kumimoji="0" lang="en-AU" sz="1100" b="0" i="0" u="none" strike="noStrike" kern="0" cap="none" spc="0" normalizeH="0" baseline="0" noProof="0" smtClean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 if you want to use calendar year,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AU" sz="11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AU" sz="1100" b="1" i="0" u="none" strike="noStrike" kern="0" cap="none" spc="0" normalizeH="0" baseline="0" noProof="0" smtClean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2</a:t>
            </a:r>
            <a:r>
              <a:rPr kumimoji="0" lang="en-AU" sz="1100" b="0" i="0" u="none" strike="noStrike" kern="0" cap="none" spc="0" normalizeH="0" baseline="0" noProof="0" smtClean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 if you want to use financial year.</a:t>
            </a:r>
          </a:p>
        </xdr:txBody>
      </xdr:sp>
    </xdr:grpSp>
    <xdr:clientData/>
  </xdr:twoCellAnchor>
  <xdr:twoCellAnchor>
    <xdr:from>
      <xdr:col>4</xdr:col>
      <xdr:colOff>615958</xdr:colOff>
      <xdr:row>26</xdr:row>
      <xdr:rowOff>158752</xdr:rowOff>
    </xdr:from>
    <xdr:to>
      <xdr:col>5</xdr:col>
      <xdr:colOff>423341</xdr:colOff>
      <xdr:row>28</xdr:row>
      <xdr:rowOff>42335</xdr:rowOff>
    </xdr:to>
    <xdr:grpSp>
      <xdr:nvGrpSpPr>
        <xdr:cNvPr id="11" name="Group 10">
          <a:hlinkClick xmlns:r="http://schemas.openxmlformats.org/officeDocument/2006/relationships" r:id="rId1"/>
        </xdr:cNvPr>
        <xdr:cNvGrpSpPr/>
      </xdr:nvGrpSpPr>
      <xdr:grpSpPr>
        <a:xfrm>
          <a:off x="4838708" y="6466419"/>
          <a:ext cx="696383" cy="264583"/>
          <a:chOff x="10107089" y="7874000"/>
          <a:chExt cx="941910" cy="264582"/>
        </a:xfrm>
        <a:effectLst>
          <a:glow rad="139700">
            <a:srgbClr val="FCBB16">
              <a:alpha val="40000"/>
            </a:srgbClr>
          </a:glow>
        </a:effectLst>
      </xdr:grpSpPr>
      <xdr:sp macro="" textlink="">
        <xdr:nvSpPr>
          <xdr:cNvPr id="12" name="Pentagon 11"/>
          <xdr:cNvSpPr/>
        </xdr:nvSpPr>
        <xdr:spPr>
          <a:xfrm>
            <a:off x="10107089" y="7874000"/>
            <a:ext cx="941910" cy="264582"/>
          </a:xfrm>
          <a:prstGeom prst="homePlate">
            <a:avLst/>
          </a:prstGeom>
          <a:solidFill>
            <a:srgbClr val="993300"/>
          </a:solidFill>
          <a:ln>
            <a:solidFill>
              <a:srgbClr val="9933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AU" sz="1100"/>
          </a:p>
        </xdr:txBody>
      </xdr:sp>
      <xdr:sp macro="" textlink="">
        <xdr:nvSpPr>
          <xdr:cNvPr id="13" name="TextBox 12">
            <a:hlinkClick xmlns:r="http://schemas.openxmlformats.org/officeDocument/2006/relationships" r:id="rId2"/>
          </xdr:cNvPr>
          <xdr:cNvSpPr txBox="1"/>
        </xdr:nvSpPr>
        <xdr:spPr>
          <a:xfrm>
            <a:off x="10128252" y="7895167"/>
            <a:ext cx="751415" cy="222250"/>
          </a:xfrm>
          <a:prstGeom prst="rect">
            <a:avLst/>
          </a:prstGeom>
          <a:gradFill flip="none" rotWithShape="1">
            <a:gsLst>
              <a:gs pos="0">
                <a:schemeClr val="bg1"/>
              </a:gs>
              <a:gs pos="50000">
                <a:schemeClr val="bg1"/>
              </a:gs>
              <a:gs pos="100000">
                <a:srgbClr val="993300"/>
              </a:gs>
            </a:gsLst>
            <a:lin ang="600000" scaled="0"/>
            <a:tileRect/>
          </a:gra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AU" sz="1200" b="1" u="sng">
                <a:solidFill>
                  <a:schemeClr val="tx1"/>
                </a:solidFill>
                <a:latin typeface="Arial" pitchFamily="34" charset="0"/>
                <a:cs typeface="Arial" pitchFamily="34" charset="0"/>
              </a:rPr>
              <a:t>Next</a:t>
            </a:r>
            <a:r>
              <a:rPr lang="en-AU" sz="1200" b="1">
                <a:solidFill>
                  <a:schemeClr val="tx1"/>
                </a:solidFill>
                <a:latin typeface="Arial" pitchFamily="34" charset="0"/>
                <a:cs typeface="Arial" pitchFamily="34" charset="0"/>
              </a:rPr>
              <a:t> </a:t>
            </a:r>
          </a:p>
        </xdr:txBody>
      </xdr:sp>
    </xdr:grpSp>
    <xdr:clientData/>
  </xdr:twoCellAnchor>
  <xdr:twoCellAnchor>
    <xdr:from>
      <xdr:col>2</xdr:col>
      <xdr:colOff>84664</xdr:colOff>
      <xdr:row>2</xdr:row>
      <xdr:rowOff>63498</xdr:rowOff>
    </xdr:from>
    <xdr:to>
      <xdr:col>2</xdr:col>
      <xdr:colOff>680505</xdr:colOff>
      <xdr:row>2</xdr:row>
      <xdr:rowOff>276223</xdr:rowOff>
    </xdr:to>
    <xdr:sp macro="" textlink="">
      <xdr:nvSpPr>
        <xdr:cNvPr id="14" name="Right Arrow 13"/>
        <xdr:cNvSpPr/>
      </xdr:nvSpPr>
      <xdr:spPr>
        <a:xfrm>
          <a:off x="2529414" y="888998"/>
          <a:ext cx="595841" cy="212725"/>
        </a:xfrm>
        <a:prstGeom prst="rightArrow">
          <a:avLst/>
        </a:prstGeom>
        <a:solidFill>
          <a:srgbClr val="FCBB16"/>
        </a:solidFill>
        <a:ln>
          <a:solidFill>
            <a:srgbClr val="9933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762003</xdr:colOff>
      <xdr:row>1</xdr:row>
      <xdr:rowOff>476250</xdr:rowOff>
    </xdr:from>
    <xdr:to>
      <xdr:col>5</xdr:col>
      <xdr:colOff>783166</xdr:colOff>
      <xdr:row>3</xdr:row>
      <xdr:rowOff>265642</xdr:rowOff>
    </xdr:to>
    <xdr:sp macro="" textlink="">
      <xdr:nvSpPr>
        <xdr:cNvPr id="15" name="TextBox 14"/>
        <xdr:cNvSpPr txBox="1"/>
      </xdr:nvSpPr>
      <xdr:spPr>
        <a:xfrm>
          <a:off x="3206753" y="814917"/>
          <a:ext cx="2688163" cy="625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>
              <a:latin typeface="Arial" pitchFamily="34" charset="0"/>
              <a:cs typeface="Arial" pitchFamily="34" charset="0"/>
            </a:rPr>
            <a:t>Note:</a:t>
          </a:r>
          <a:r>
            <a:rPr lang="en-AU" sz="1100">
              <a:latin typeface="Arial" pitchFamily="34" charset="0"/>
              <a:cs typeface="Arial" pitchFamily="34" charset="0"/>
            </a:rPr>
            <a:t> Use the same 12 month period as your other estimates of cattle numbers</a:t>
          </a:r>
        </a:p>
      </xdr:txBody>
    </xdr:sp>
    <xdr:clientData/>
  </xdr:twoCellAnchor>
  <xdr:oneCellAnchor>
    <xdr:from>
      <xdr:col>13</xdr:col>
      <xdr:colOff>846669</xdr:colOff>
      <xdr:row>0</xdr:row>
      <xdr:rowOff>63503</xdr:rowOff>
    </xdr:from>
    <xdr:ext cx="1837765" cy="1038946"/>
    <xdr:pic>
      <xdr:nvPicPr>
        <xdr:cNvPr id="16" name="Picture 15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466"/>
        <a:stretch/>
      </xdr:blipFill>
      <xdr:spPr>
        <a:xfrm>
          <a:off x="13029144" y="63503"/>
          <a:ext cx="1837765" cy="103894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4542366</xdr:colOff>
      <xdr:row>0</xdr:row>
      <xdr:rowOff>82550</xdr:rowOff>
    </xdr:from>
    <xdr:ext cx="1837765" cy="1038946"/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466"/>
        <a:stretch/>
      </xdr:blipFill>
      <xdr:spPr>
        <a:xfrm>
          <a:off x="10077449" y="82550"/>
          <a:ext cx="1837765" cy="1038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="75" zoomScaleNormal="75" workbookViewId="0">
      <selection activeCell="D83" sqref="D83"/>
    </sheetView>
  </sheetViews>
  <sheetFormatPr defaultRowHeight="15" x14ac:dyDescent="0.25"/>
  <cols>
    <col min="1" max="1" width="64.5703125" style="22" customWidth="1"/>
    <col min="2" max="2" width="17.42578125" style="22" customWidth="1"/>
    <col min="3" max="3" width="14.5703125" style="22" customWidth="1"/>
    <col min="4" max="5" width="13.7109375" style="22" customWidth="1"/>
    <col min="6" max="6" width="22.140625" style="22" customWidth="1"/>
    <col min="7" max="11" width="13.7109375" style="22" customWidth="1"/>
    <col min="12" max="12" width="24.5703125" style="22" customWidth="1"/>
    <col min="13" max="16384" width="9.140625" style="22"/>
  </cols>
  <sheetData>
    <row r="1" spans="1:11" ht="96" customHeight="1" thickBot="1" x14ac:dyDescent="0.3">
      <c r="A1" s="20" t="s">
        <v>108</v>
      </c>
      <c r="B1" s="21"/>
      <c r="C1" s="21"/>
      <c r="D1" s="21"/>
      <c r="E1" s="21"/>
      <c r="F1" s="21"/>
      <c r="G1" s="21"/>
    </row>
    <row r="2" spans="1:11" ht="56.25" customHeight="1" x14ac:dyDescent="0.25">
      <c r="A2" s="23"/>
      <c r="B2" s="24"/>
      <c r="C2" s="24"/>
      <c r="D2" s="24"/>
      <c r="E2" s="24"/>
      <c r="F2" s="24"/>
      <c r="G2" s="24"/>
    </row>
    <row r="3" spans="1:11" s="30" customFormat="1" ht="48" customHeight="1" x14ac:dyDescent="0.25">
      <c r="A3" s="25"/>
      <c r="B3" s="26"/>
      <c r="C3" s="27" t="s">
        <v>58</v>
      </c>
      <c r="D3" s="28"/>
      <c r="E3" s="28"/>
      <c r="F3" s="28"/>
      <c r="G3" s="28"/>
      <c r="H3" s="29"/>
      <c r="I3" s="29"/>
      <c r="J3" s="29"/>
      <c r="K3" s="29"/>
    </row>
    <row r="4" spans="1:11" ht="30" customHeight="1" x14ac:dyDescent="0.25">
      <c r="A4" s="31" t="s">
        <v>12</v>
      </c>
      <c r="B4" s="11">
        <v>5</v>
      </c>
      <c r="C4" s="32" t="s">
        <v>32</v>
      </c>
      <c r="D4" s="33"/>
      <c r="E4" s="34"/>
      <c r="F4" s="34"/>
      <c r="G4" s="35"/>
      <c r="H4" s="35"/>
      <c r="I4" s="35"/>
      <c r="J4" s="35"/>
      <c r="K4" s="35"/>
    </row>
    <row r="5" spans="1:11" ht="30" customHeight="1" x14ac:dyDescent="0.25">
      <c r="A5" s="167" t="s">
        <v>69</v>
      </c>
      <c r="B5" s="168"/>
      <c r="C5" s="32"/>
      <c r="D5" s="32"/>
      <c r="E5" s="32"/>
      <c r="F5" s="33"/>
      <c r="G5" s="163"/>
      <c r="H5" s="163"/>
      <c r="I5" s="163"/>
      <c r="J5" s="163"/>
      <c r="K5" s="163"/>
    </row>
    <row r="6" spans="1:11" ht="30" customHeight="1" x14ac:dyDescent="0.25">
      <c r="A6" s="36" t="s">
        <v>70</v>
      </c>
      <c r="B6" s="12">
        <v>1</v>
      </c>
      <c r="C6" s="32"/>
      <c r="D6" s="32"/>
      <c r="E6" s="32"/>
      <c r="F6" s="33"/>
      <c r="G6" s="163"/>
      <c r="H6" s="163"/>
      <c r="I6" s="163"/>
      <c r="J6" s="163"/>
      <c r="K6" s="163"/>
    </row>
    <row r="7" spans="1:11" ht="30" customHeight="1" x14ac:dyDescent="0.25">
      <c r="A7" s="36" t="str">
        <f>IF($B$6=1,"2.b. Not applicable","2.b. Enter expected proportion of females in branded cattle - default is 0.5")</f>
        <v>2.b. Not applicable</v>
      </c>
      <c r="B7" s="12">
        <v>0.5</v>
      </c>
      <c r="C7" s="32"/>
      <c r="D7" s="32"/>
      <c r="E7" s="32"/>
      <c r="F7" s="33"/>
      <c r="G7" s="163"/>
      <c r="H7" s="163"/>
      <c r="I7" s="163"/>
      <c r="J7" s="163"/>
      <c r="K7" s="163"/>
    </row>
    <row r="8" spans="1:11" ht="60.75" customHeight="1" x14ac:dyDescent="0.25">
      <c r="A8" s="37" t="s">
        <v>71</v>
      </c>
      <c r="B8" s="13">
        <v>0.03</v>
      </c>
      <c r="C8" s="169" t="s">
        <v>68</v>
      </c>
      <c r="D8" s="170"/>
      <c r="E8" s="170"/>
      <c r="F8" s="34"/>
      <c r="H8" s="35"/>
      <c r="I8" s="35"/>
      <c r="J8" s="35"/>
      <c r="K8" s="35"/>
    </row>
    <row r="9" spans="1:11" ht="15.75" x14ac:dyDescent="0.25">
      <c r="A9" s="38"/>
      <c r="B9" s="39"/>
      <c r="C9" s="35"/>
      <c r="D9" s="40"/>
      <c r="E9" s="40"/>
      <c r="F9" s="40"/>
      <c r="G9" s="40"/>
      <c r="H9" s="35"/>
      <c r="I9" s="35"/>
      <c r="J9" s="35"/>
      <c r="K9" s="35"/>
    </row>
    <row r="10" spans="1:11" ht="30" customHeight="1" x14ac:dyDescent="0.25">
      <c r="A10" s="41" t="s">
        <v>94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ht="23.1" customHeight="1" x14ac:dyDescent="0.25">
      <c r="A11" s="65" t="s">
        <v>7</v>
      </c>
      <c r="B11" s="48" t="s">
        <v>62</v>
      </c>
      <c r="C11" s="48" t="s">
        <v>63</v>
      </c>
      <c r="D11" s="48" t="s">
        <v>64</v>
      </c>
      <c r="E11" s="48" t="s">
        <v>65</v>
      </c>
      <c r="F11" s="48" t="s">
        <v>66</v>
      </c>
      <c r="G11" s="42"/>
      <c r="H11" s="42"/>
      <c r="I11" s="42"/>
      <c r="J11" s="42"/>
      <c r="K11" s="42"/>
    </row>
    <row r="12" spans="1:11" ht="23.1" customHeight="1" x14ac:dyDescent="0.25">
      <c r="A12" s="118" t="s">
        <v>8</v>
      </c>
      <c r="B12" s="14">
        <v>25505</v>
      </c>
      <c r="C12" s="14">
        <v>29311</v>
      </c>
      <c r="D12" s="14">
        <v>32799</v>
      </c>
      <c r="E12" s="14">
        <v>22836</v>
      </c>
      <c r="F12" s="15">
        <v>22508</v>
      </c>
      <c r="G12" s="44"/>
      <c r="H12" s="44"/>
      <c r="I12" s="44"/>
      <c r="J12" s="44"/>
      <c r="K12" s="44"/>
    </row>
    <row r="13" spans="1:11" ht="23.1" customHeight="1" x14ac:dyDescent="0.25">
      <c r="A13" s="43" t="s">
        <v>0</v>
      </c>
      <c r="B13" s="14">
        <v>18293</v>
      </c>
      <c r="C13" s="14">
        <v>16331</v>
      </c>
      <c r="D13" s="14">
        <v>17896</v>
      </c>
      <c r="E13" s="14">
        <v>18860</v>
      </c>
      <c r="F13" s="15">
        <v>18920</v>
      </c>
      <c r="G13" s="44"/>
      <c r="H13" s="44"/>
      <c r="I13" s="44"/>
      <c r="J13" s="44"/>
      <c r="K13" s="44"/>
    </row>
    <row r="14" spans="1:11" ht="23.1" customHeight="1" x14ac:dyDescent="0.25">
      <c r="A14" s="43" t="s">
        <v>4</v>
      </c>
      <c r="B14" s="157" t="s">
        <v>33</v>
      </c>
      <c r="C14" s="158"/>
      <c r="D14" s="158"/>
      <c r="E14" s="158"/>
      <c r="F14" s="159"/>
      <c r="G14" s="44"/>
      <c r="H14" s="44"/>
      <c r="I14" s="44"/>
      <c r="J14" s="44"/>
      <c r="K14" s="44"/>
    </row>
    <row r="15" spans="1:11" ht="23.1" customHeight="1" x14ac:dyDescent="0.25">
      <c r="A15" s="43" t="s">
        <v>5</v>
      </c>
      <c r="B15" s="160"/>
      <c r="C15" s="161"/>
      <c r="D15" s="161"/>
      <c r="E15" s="161"/>
      <c r="F15" s="162"/>
      <c r="G15" s="44"/>
      <c r="H15" s="44"/>
      <c r="I15" s="44"/>
      <c r="J15" s="44"/>
      <c r="K15" s="44"/>
    </row>
    <row r="16" spans="1:11" ht="23.1" customHeight="1" x14ac:dyDescent="0.25">
      <c r="A16" s="43" t="s">
        <v>72</v>
      </c>
      <c r="B16" s="14">
        <v>0</v>
      </c>
      <c r="C16" s="14">
        <v>0</v>
      </c>
      <c r="D16" s="14">
        <v>0</v>
      </c>
      <c r="E16" s="14">
        <v>0</v>
      </c>
      <c r="F16" s="15">
        <v>0</v>
      </c>
      <c r="G16" s="44"/>
      <c r="H16" s="44"/>
      <c r="I16" s="44"/>
      <c r="J16" s="44"/>
      <c r="K16" s="44"/>
    </row>
    <row r="17" spans="1:11" ht="23.1" customHeight="1" x14ac:dyDescent="0.25">
      <c r="A17" s="43" t="s">
        <v>13</v>
      </c>
      <c r="B17" s="14">
        <v>29311</v>
      </c>
      <c r="C17" s="14">
        <v>32799</v>
      </c>
      <c r="D17" s="14">
        <v>22836</v>
      </c>
      <c r="E17" s="14">
        <v>22508</v>
      </c>
      <c r="F17" s="15">
        <v>23624</v>
      </c>
      <c r="G17" s="44"/>
      <c r="H17" s="44"/>
      <c r="I17" s="44"/>
      <c r="J17" s="44"/>
      <c r="K17" s="44"/>
    </row>
    <row r="18" spans="1:11" ht="23.1" customHeight="1" x14ac:dyDescent="0.25">
      <c r="A18" s="43" t="s">
        <v>6</v>
      </c>
      <c r="B18" s="164" t="s">
        <v>42</v>
      </c>
      <c r="C18" s="165"/>
      <c r="D18" s="165"/>
      <c r="E18" s="165"/>
      <c r="F18" s="166"/>
      <c r="G18" s="44"/>
      <c r="H18" s="44"/>
      <c r="I18" s="44"/>
      <c r="J18" s="44"/>
      <c r="K18" s="44"/>
    </row>
    <row r="19" spans="1:11" ht="23.1" customHeight="1" x14ac:dyDescent="0.25">
      <c r="A19" s="43" t="s">
        <v>1</v>
      </c>
      <c r="B19" s="16">
        <v>6686</v>
      </c>
      <c r="C19" s="16">
        <v>11101</v>
      </c>
      <c r="D19" s="16">
        <v>16264</v>
      </c>
      <c r="E19" s="16">
        <v>576</v>
      </c>
      <c r="F19" s="17">
        <v>585</v>
      </c>
      <c r="G19" s="44"/>
      <c r="H19" s="44"/>
      <c r="I19" s="44"/>
      <c r="J19" s="44"/>
      <c r="K19" s="44"/>
    </row>
    <row r="20" spans="1:11" ht="23.1" customHeight="1" x14ac:dyDescent="0.25">
      <c r="A20" s="43" t="s">
        <v>2</v>
      </c>
      <c r="B20" s="157" t="s">
        <v>33</v>
      </c>
      <c r="C20" s="158"/>
      <c r="D20" s="158"/>
      <c r="E20" s="158"/>
      <c r="F20" s="159"/>
      <c r="G20" s="44"/>
      <c r="H20" s="44"/>
      <c r="I20" s="44"/>
      <c r="J20" s="44"/>
      <c r="K20" s="44"/>
    </row>
    <row r="21" spans="1:11" ht="23.1" customHeight="1" x14ac:dyDescent="0.25">
      <c r="A21" s="43" t="s">
        <v>3</v>
      </c>
      <c r="B21" s="160"/>
      <c r="C21" s="161"/>
      <c r="D21" s="161"/>
      <c r="E21" s="161"/>
      <c r="F21" s="162"/>
      <c r="G21" s="44"/>
      <c r="H21" s="44"/>
      <c r="I21" s="44"/>
      <c r="J21" s="44"/>
      <c r="K21" s="44"/>
    </row>
    <row r="22" spans="1:11" ht="23.1" customHeight="1" x14ac:dyDescent="0.25">
      <c r="A22" s="45" t="s">
        <v>73</v>
      </c>
      <c r="B22" s="16">
        <v>32</v>
      </c>
      <c r="C22" s="16">
        <v>29</v>
      </c>
      <c r="D22" s="16">
        <v>30</v>
      </c>
      <c r="E22" s="16">
        <v>31</v>
      </c>
      <c r="F22" s="17">
        <v>33</v>
      </c>
      <c r="G22" s="44"/>
      <c r="H22" s="44"/>
      <c r="I22" s="44"/>
      <c r="J22" s="44"/>
      <c r="K22" s="44"/>
    </row>
    <row r="23" spans="1:11" ht="23.1" customHeight="1" x14ac:dyDescent="0.25">
      <c r="A23" s="46" t="s">
        <v>14</v>
      </c>
      <c r="B23" s="18">
        <v>11101</v>
      </c>
      <c r="C23" s="18">
        <v>16264</v>
      </c>
      <c r="D23" s="18">
        <v>576</v>
      </c>
      <c r="E23" s="18">
        <v>585</v>
      </c>
      <c r="F23" s="19">
        <v>735</v>
      </c>
      <c r="G23" s="44"/>
      <c r="H23" s="47"/>
      <c r="I23" s="44"/>
      <c r="J23" s="44"/>
      <c r="K23" s="44"/>
    </row>
    <row r="24" spans="1:1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 x14ac:dyDescent="0.25">
      <c r="A26" s="156" t="s">
        <v>97</v>
      </c>
      <c r="B26" s="156"/>
      <c r="C26" s="35"/>
      <c r="D26" s="35"/>
      <c r="E26" s="35"/>
      <c r="F26" s="35"/>
      <c r="G26" s="35"/>
      <c r="H26" s="35"/>
      <c r="I26" s="35"/>
      <c r="J26" s="35"/>
      <c r="K26" s="35"/>
    </row>
  </sheetData>
  <sheetProtection password="EE55" sheet="1" objects="1" scenarios="1"/>
  <mergeCells count="7">
    <mergeCell ref="A26:B26"/>
    <mergeCell ref="B20:F21"/>
    <mergeCell ref="G5:K7"/>
    <mergeCell ref="B18:F18"/>
    <mergeCell ref="A5:B5"/>
    <mergeCell ref="C8:E8"/>
    <mergeCell ref="B14:F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44"/>
  <sheetViews>
    <sheetView tabSelected="1" zoomScale="90" zoomScaleNormal="90" workbookViewId="0">
      <selection activeCell="A78" sqref="A78"/>
    </sheetView>
  </sheetViews>
  <sheetFormatPr defaultRowHeight="15" x14ac:dyDescent="0.25"/>
  <cols>
    <col min="1" max="1" width="23.28515625" style="35" customWidth="1"/>
    <col min="2" max="4" width="14.85546875" style="35" customWidth="1"/>
    <col min="5" max="16" width="12.28515625" style="35" customWidth="1"/>
    <col min="17" max="16384" width="9.140625" style="22"/>
  </cols>
  <sheetData>
    <row r="1" spans="1:16" ht="27" customHeight="1" x14ac:dyDescent="0.25">
      <c r="A1" s="49"/>
      <c r="B1" s="49"/>
      <c r="C1" s="50"/>
      <c r="D1" s="50"/>
      <c r="E1" s="50"/>
      <c r="H1" s="185" t="s">
        <v>59</v>
      </c>
      <c r="I1" s="185"/>
      <c r="J1" s="185"/>
    </row>
    <row r="2" spans="1:16" ht="38.25" customHeight="1" x14ac:dyDescent="0.25">
      <c r="A2" s="49"/>
      <c r="C2" s="52"/>
      <c r="D2" s="52"/>
      <c r="E2" s="52"/>
      <c r="H2" s="185"/>
      <c r="I2" s="185"/>
      <c r="J2" s="185"/>
      <c r="O2" s="28"/>
      <c r="P2" s="28"/>
    </row>
    <row r="3" spans="1:16" ht="27.75" customHeight="1" thickBot="1" x14ac:dyDescent="0.3">
      <c r="A3" s="49"/>
      <c r="B3" s="1">
        <v>1</v>
      </c>
      <c r="C3" s="52"/>
      <c r="D3" s="52"/>
      <c r="E3" s="52"/>
      <c r="H3" s="186"/>
      <c r="I3" s="186"/>
      <c r="J3" s="186"/>
      <c r="K3" s="119"/>
      <c r="L3" s="119"/>
      <c r="M3" s="119"/>
      <c r="N3" s="119"/>
      <c r="O3" s="120"/>
      <c r="P3" s="120"/>
    </row>
    <row r="4" spans="1:16" ht="42" customHeight="1" x14ac:dyDescent="0.25">
      <c r="A4" s="49"/>
      <c r="B4" s="49"/>
      <c r="C4" s="53"/>
      <c r="D4" s="53"/>
      <c r="E4" s="53"/>
      <c r="H4" s="54"/>
      <c r="I4" s="55"/>
      <c r="J4" s="55"/>
      <c r="N4" s="56"/>
      <c r="O4" s="56"/>
      <c r="P4" s="56"/>
    </row>
    <row r="5" spans="1:16" s="58" customFormat="1" ht="15" customHeight="1" x14ac:dyDescent="0.25">
      <c r="A5" s="57"/>
      <c r="B5" s="179" t="s">
        <v>100</v>
      </c>
      <c r="C5" s="180"/>
      <c r="D5" s="181"/>
      <c r="E5" s="176" t="s">
        <v>101</v>
      </c>
      <c r="F5" s="177"/>
      <c r="G5" s="178"/>
      <c r="H5" s="179" t="s">
        <v>102</v>
      </c>
      <c r="I5" s="180"/>
      <c r="J5" s="181"/>
      <c r="K5" s="176" t="s">
        <v>103</v>
      </c>
      <c r="L5" s="177"/>
      <c r="M5" s="178"/>
      <c r="N5" s="179" t="s">
        <v>104</v>
      </c>
      <c r="O5" s="180"/>
      <c r="P5" s="181"/>
    </row>
    <row r="6" spans="1:16" s="58" customFormat="1" ht="15" customHeight="1" x14ac:dyDescent="0.25">
      <c r="A6" s="57"/>
      <c r="B6" s="182" t="s">
        <v>56</v>
      </c>
      <c r="C6" s="183"/>
      <c r="D6" s="184"/>
      <c r="E6" s="171" t="s">
        <v>56</v>
      </c>
      <c r="F6" s="172"/>
      <c r="G6" s="173"/>
      <c r="H6" s="182" t="s">
        <v>56</v>
      </c>
      <c r="I6" s="183"/>
      <c r="J6" s="184"/>
      <c r="K6" s="171" t="s">
        <v>56</v>
      </c>
      <c r="L6" s="172"/>
      <c r="M6" s="173"/>
      <c r="N6" s="182" t="s">
        <v>56</v>
      </c>
      <c r="O6" s="183"/>
      <c r="P6" s="184"/>
    </row>
    <row r="7" spans="1:16" s="58" customFormat="1" ht="47.25" customHeight="1" x14ac:dyDescent="0.25">
      <c r="A7" s="59" t="s">
        <v>52</v>
      </c>
      <c r="B7" s="60" t="s">
        <v>96</v>
      </c>
      <c r="C7" s="61" t="s">
        <v>98</v>
      </c>
      <c r="D7" s="62" t="s">
        <v>99</v>
      </c>
      <c r="E7" s="74" t="s">
        <v>26</v>
      </c>
      <c r="F7" s="75" t="s">
        <v>31</v>
      </c>
      <c r="G7" s="76" t="s">
        <v>27</v>
      </c>
      <c r="H7" s="63" t="s">
        <v>26</v>
      </c>
      <c r="I7" s="61" t="s">
        <v>31</v>
      </c>
      <c r="J7" s="64" t="s">
        <v>27</v>
      </c>
      <c r="K7" s="74" t="s">
        <v>26</v>
      </c>
      <c r="L7" s="75" t="s">
        <v>31</v>
      </c>
      <c r="M7" s="76" t="s">
        <v>27</v>
      </c>
      <c r="N7" s="63" t="s">
        <v>26</v>
      </c>
      <c r="O7" s="61" t="s">
        <v>31</v>
      </c>
      <c r="P7" s="64" t="s">
        <v>27</v>
      </c>
    </row>
    <row r="8" spans="1:16" ht="15" customHeight="1" x14ac:dyDescent="0.25">
      <c r="A8" s="121" t="str">
        <f>IF($B$3=1,"January","July")</f>
        <v>January</v>
      </c>
      <c r="B8" s="8"/>
      <c r="C8" s="9"/>
      <c r="D8" s="10"/>
      <c r="E8" s="8"/>
      <c r="F8" s="9"/>
      <c r="G8" s="10"/>
      <c r="H8" s="8"/>
      <c r="I8" s="9"/>
      <c r="J8" s="10"/>
      <c r="K8" s="8"/>
      <c r="L8" s="9"/>
      <c r="M8" s="10"/>
      <c r="N8" s="8"/>
      <c r="O8" s="9"/>
      <c r="P8" s="10"/>
    </row>
    <row r="9" spans="1:16" ht="15" customHeight="1" x14ac:dyDescent="0.25">
      <c r="A9" s="121" t="str">
        <f>IF($B$3=1,"February","August")</f>
        <v>February</v>
      </c>
      <c r="B9" s="2"/>
      <c r="C9" s="3"/>
      <c r="D9" s="4"/>
      <c r="E9" s="2"/>
      <c r="F9" s="3"/>
      <c r="G9" s="4"/>
      <c r="H9" s="2"/>
      <c r="I9" s="3"/>
      <c r="J9" s="4"/>
      <c r="K9" s="2"/>
      <c r="L9" s="3"/>
      <c r="M9" s="4"/>
      <c r="N9" s="2"/>
      <c r="O9" s="3"/>
      <c r="P9" s="4"/>
    </row>
    <row r="10" spans="1:16" ht="15" customHeight="1" x14ac:dyDescent="0.25">
      <c r="A10" s="121" t="str">
        <f>IF($B$3=1,"March","September")</f>
        <v>March</v>
      </c>
      <c r="B10" s="2">
        <v>800</v>
      </c>
      <c r="C10" s="3"/>
      <c r="D10" s="4"/>
      <c r="E10" s="2">
        <v>600</v>
      </c>
      <c r="F10" s="3"/>
      <c r="G10" s="4"/>
      <c r="H10" s="2">
        <v>3500</v>
      </c>
      <c r="I10" s="3"/>
      <c r="J10" s="4">
        <v>5000</v>
      </c>
      <c r="K10" s="2"/>
      <c r="L10" s="3"/>
      <c r="M10" s="4"/>
      <c r="N10" s="2"/>
      <c r="O10" s="3"/>
      <c r="P10" s="4">
        <v>1500</v>
      </c>
    </row>
    <row r="11" spans="1:16" ht="15" customHeight="1" x14ac:dyDescent="0.25">
      <c r="A11" s="121" t="str">
        <f>IF($B$3=1,"April","October")</f>
        <v>April</v>
      </c>
      <c r="B11" s="2"/>
      <c r="C11" s="3"/>
      <c r="D11" s="4">
        <v>864</v>
      </c>
      <c r="E11" s="2"/>
      <c r="F11" s="3"/>
      <c r="G11" s="4">
        <v>1500</v>
      </c>
      <c r="H11" s="2"/>
      <c r="I11" s="3"/>
      <c r="J11" s="4">
        <v>5000</v>
      </c>
      <c r="K11" s="2">
        <v>1500</v>
      </c>
      <c r="L11" s="3"/>
      <c r="M11" s="4">
        <v>2500</v>
      </c>
      <c r="N11" s="2">
        <v>2500</v>
      </c>
      <c r="O11" s="3"/>
      <c r="P11" s="4"/>
    </row>
    <row r="12" spans="1:16" ht="15" customHeight="1" x14ac:dyDescent="0.25">
      <c r="A12" s="121" t="str">
        <f>IF($B$3=1,"May","November")</f>
        <v>May</v>
      </c>
      <c r="B12" s="2">
        <v>898</v>
      </c>
      <c r="C12" s="3"/>
      <c r="D12" s="4"/>
      <c r="E12" s="2">
        <v>648</v>
      </c>
      <c r="F12" s="3"/>
      <c r="G12" s="4"/>
      <c r="H12" s="2">
        <v>2500</v>
      </c>
      <c r="I12" s="3"/>
      <c r="J12" s="4"/>
      <c r="K12" s="2">
        <v>1500</v>
      </c>
      <c r="L12" s="3"/>
      <c r="M12" s="4"/>
      <c r="N12" s="2"/>
      <c r="O12" s="3"/>
      <c r="P12" s="4">
        <v>2000</v>
      </c>
    </row>
    <row r="13" spans="1:16" ht="15" customHeight="1" x14ac:dyDescent="0.25">
      <c r="A13" s="121" t="str">
        <f>IF($B$3=1,"June","December")</f>
        <v>June</v>
      </c>
      <c r="B13" s="2"/>
      <c r="C13" s="3"/>
      <c r="D13" s="4"/>
      <c r="E13" s="2"/>
      <c r="F13" s="3"/>
      <c r="G13" s="4"/>
      <c r="H13" s="2"/>
      <c r="I13" s="3"/>
      <c r="J13" s="4"/>
      <c r="K13" s="2">
        <v>1200</v>
      </c>
      <c r="L13" s="3"/>
      <c r="M13" s="4"/>
      <c r="N13" s="2"/>
      <c r="O13" s="3"/>
      <c r="P13" s="4"/>
    </row>
    <row r="14" spans="1:16" ht="15" customHeight="1" x14ac:dyDescent="0.25">
      <c r="A14" s="121" t="str">
        <f>IF($B$3=1,"July","January")</f>
        <v>July</v>
      </c>
      <c r="B14" s="2"/>
      <c r="C14" s="3"/>
      <c r="D14" s="4"/>
      <c r="E14" s="2"/>
      <c r="F14" s="3"/>
      <c r="G14" s="4"/>
      <c r="H14" s="2">
        <v>2173</v>
      </c>
      <c r="I14" s="3"/>
      <c r="J14" s="4"/>
      <c r="K14" s="2">
        <v>1829</v>
      </c>
      <c r="L14" s="3"/>
      <c r="M14" s="4"/>
      <c r="N14" s="2">
        <v>1026</v>
      </c>
      <c r="O14" s="3"/>
      <c r="P14" s="4"/>
    </row>
    <row r="15" spans="1:16" ht="15" customHeight="1" x14ac:dyDescent="0.25">
      <c r="A15" s="121" t="str">
        <f>IF($B$3=1,"August","February")</f>
        <v>August</v>
      </c>
      <c r="B15" s="2"/>
      <c r="C15" s="3"/>
      <c r="D15" s="4"/>
      <c r="E15" s="2"/>
      <c r="F15" s="3"/>
      <c r="G15" s="4">
        <v>1834</v>
      </c>
      <c r="H15" s="2"/>
      <c r="I15" s="3"/>
      <c r="J15" s="4">
        <v>5000</v>
      </c>
      <c r="K15" s="2"/>
      <c r="L15" s="3"/>
      <c r="M15" s="4">
        <v>2272</v>
      </c>
      <c r="N15" s="2"/>
      <c r="O15" s="3"/>
      <c r="P15" s="4">
        <v>2164</v>
      </c>
    </row>
    <row r="16" spans="1:16" ht="15" customHeight="1" x14ac:dyDescent="0.25">
      <c r="A16" s="121" t="str">
        <f>IF($B$3=1,"September","March")</f>
        <v>September</v>
      </c>
      <c r="B16" s="2"/>
      <c r="C16" s="3"/>
      <c r="D16" s="4"/>
      <c r="E16" s="2"/>
      <c r="F16" s="3"/>
      <c r="G16" s="4"/>
      <c r="H16" s="2"/>
      <c r="I16" s="3"/>
      <c r="J16" s="4">
        <v>2272</v>
      </c>
      <c r="K16" s="2"/>
      <c r="L16" s="3"/>
      <c r="M16" s="4"/>
      <c r="N16" s="2"/>
      <c r="O16" s="3"/>
      <c r="P16" s="4"/>
    </row>
    <row r="17" spans="1:16" ht="15" customHeight="1" x14ac:dyDescent="0.25">
      <c r="A17" s="121" t="str">
        <f>IF($B$3=1,"October","April")</f>
        <v>October</v>
      </c>
      <c r="B17" s="2"/>
      <c r="C17" s="3"/>
      <c r="D17" s="4"/>
      <c r="E17" s="2"/>
      <c r="F17" s="3"/>
      <c r="G17" s="4"/>
      <c r="H17" s="2"/>
      <c r="I17" s="3"/>
      <c r="J17" s="4"/>
      <c r="K17" s="2"/>
      <c r="L17" s="3"/>
      <c r="M17" s="4"/>
      <c r="N17" s="2"/>
      <c r="O17" s="3"/>
      <c r="P17" s="4"/>
    </row>
    <row r="18" spans="1:16" ht="15" customHeight="1" x14ac:dyDescent="0.25">
      <c r="A18" s="121" t="str">
        <f>IF($B$3=1,"November","May")</f>
        <v>November</v>
      </c>
      <c r="B18" s="2"/>
      <c r="C18" s="3"/>
      <c r="D18" s="4"/>
      <c r="E18" s="2"/>
      <c r="F18" s="3"/>
      <c r="G18" s="4"/>
      <c r="H18" s="2"/>
      <c r="I18" s="3"/>
      <c r="J18" s="4"/>
      <c r="K18" s="2"/>
      <c r="L18" s="3"/>
      <c r="M18" s="4"/>
      <c r="N18" s="2"/>
      <c r="O18" s="3"/>
      <c r="P18" s="4"/>
    </row>
    <row r="19" spans="1:16" ht="15" customHeight="1" x14ac:dyDescent="0.25">
      <c r="A19" s="121" t="str">
        <f>IF($B$3=1,"December","June")</f>
        <v>December</v>
      </c>
      <c r="B19" s="5"/>
      <c r="C19" s="6"/>
      <c r="D19" s="7"/>
      <c r="E19" s="5"/>
      <c r="F19" s="6"/>
      <c r="G19" s="7"/>
      <c r="H19" s="5"/>
      <c r="I19" s="6"/>
      <c r="J19" s="7"/>
      <c r="K19" s="5"/>
      <c r="L19" s="6"/>
      <c r="M19" s="7"/>
      <c r="N19" s="5"/>
      <c r="O19" s="6"/>
      <c r="P19" s="7"/>
    </row>
    <row r="20" spans="1:16" s="58" customFormat="1" ht="15" customHeight="1" x14ac:dyDescent="0.25">
      <c r="A20" s="65" t="s">
        <v>51</v>
      </c>
      <c r="B20" s="66">
        <f>SUM(B8:B19)</f>
        <v>1698</v>
      </c>
      <c r="C20" s="66">
        <f t="shared" ref="C20:P20" si="0">SUM(C8:C19)</f>
        <v>0</v>
      </c>
      <c r="D20" s="66">
        <f t="shared" si="0"/>
        <v>864</v>
      </c>
      <c r="E20" s="77">
        <f t="shared" si="0"/>
        <v>1248</v>
      </c>
      <c r="F20" s="77">
        <f t="shared" si="0"/>
        <v>0</v>
      </c>
      <c r="G20" s="77">
        <f t="shared" si="0"/>
        <v>3334</v>
      </c>
      <c r="H20" s="66">
        <f t="shared" si="0"/>
        <v>8173</v>
      </c>
      <c r="I20" s="66">
        <f t="shared" si="0"/>
        <v>0</v>
      </c>
      <c r="J20" s="66">
        <f t="shared" si="0"/>
        <v>17272</v>
      </c>
      <c r="K20" s="77">
        <f t="shared" si="0"/>
        <v>6029</v>
      </c>
      <c r="L20" s="77">
        <f t="shared" si="0"/>
        <v>0</v>
      </c>
      <c r="M20" s="77">
        <f t="shared" si="0"/>
        <v>4772</v>
      </c>
      <c r="N20" s="66">
        <f t="shared" si="0"/>
        <v>3526</v>
      </c>
      <c r="O20" s="66">
        <f t="shared" si="0"/>
        <v>0</v>
      </c>
      <c r="P20" s="66">
        <f t="shared" si="0"/>
        <v>5664</v>
      </c>
    </row>
    <row r="21" spans="1:16" ht="15" customHeight="1" x14ac:dyDescent="0.25"/>
    <row r="22" spans="1:16" ht="15" customHeight="1" x14ac:dyDescent="0.25">
      <c r="A22" s="174" t="s">
        <v>74</v>
      </c>
      <c r="B22" s="175"/>
    </row>
    <row r="23" spans="1:16" ht="15" customHeight="1" x14ac:dyDescent="0.25">
      <c r="A23" s="70" t="s">
        <v>31</v>
      </c>
      <c r="B23" s="124">
        <f>C20+F20+I20+L20+O20</f>
        <v>0</v>
      </c>
    </row>
    <row r="24" spans="1:16" ht="15" customHeight="1" x14ac:dyDescent="0.25">
      <c r="A24" s="70" t="s">
        <v>75</v>
      </c>
      <c r="B24" s="124">
        <f>B20+E20+H20+K20+N20</f>
        <v>20674</v>
      </c>
    </row>
    <row r="25" spans="1:16" ht="15" customHeight="1" x14ac:dyDescent="0.25">
      <c r="A25" s="70" t="s">
        <v>76</v>
      </c>
      <c r="B25" s="124">
        <f>B23+B24</f>
        <v>20674</v>
      </c>
    </row>
    <row r="26" spans="1:16" ht="15" customHeight="1" x14ac:dyDescent="0.25">
      <c r="A26" s="96" t="s">
        <v>27</v>
      </c>
      <c r="B26" s="125">
        <f>D20+G20+J20+M20+P20</f>
        <v>31906</v>
      </c>
    </row>
    <row r="27" spans="1:16" ht="15" customHeight="1" x14ac:dyDescent="0.25"/>
    <row r="28" spans="1:16" ht="15" customHeight="1" x14ac:dyDescent="0.25">
      <c r="A28" s="126" t="s">
        <v>77</v>
      </c>
      <c r="B28" s="69"/>
    </row>
    <row r="29" spans="1:16" ht="15" customHeight="1" x14ac:dyDescent="0.25">
      <c r="A29" s="70" t="s">
        <v>31</v>
      </c>
      <c r="B29" s="124">
        <f>G129</f>
        <v>0</v>
      </c>
    </row>
    <row r="30" spans="1:16" ht="15" customHeight="1" x14ac:dyDescent="0.25">
      <c r="A30" s="70" t="s">
        <v>75</v>
      </c>
      <c r="B30" s="124">
        <f>G114</f>
        <v>8402.1666666666679</v>
      </c>
    </row>
    <row r="31" spans="1:16" ht="15" customHeight="1" x14ac:dyDescent="0.25">
      <c r="A31" s="70" t="s">
        <v>76</v>
      </c>
      <c r="B31" s="124">
        <f>B29+B30</f>
        <v>8402.1666666666679</v>
      </c>
    </row>
    <row r="32" spans="1:16" ht="15" customHeight="1" x14ac:dyDescent="0.25">
      <c r="A32" s="96" t="s">
        <v>27</v>
      </c>
      <c r="B32" s="125">
        <f>G144</f>
        <v>14963.666666666666</v>
      </c>
    </row>
    <row r="33" spans="1:2" ht="15" customHeight="1" x14ac:dyDescent="0.25"/>
    <row r="34" spans="1:2" ht="15" customHeight="1" x14ac:dyDescent="0.25">
      <c r="A34" s="156" t="s">
        <v>97</v>
      </c>
      <c r="B34" s="156"/>
    </row>
    <row r="100" spans="1:7" x14ac:dyDescent="0.25">
      <c r="A100" s="67"/>
      <c r="B100" s="68" t="s">
        <v>43</v>
      </c>
      <c r="C100" s="68"/>
      <c r="D100" s="68"/>
      <c r="E100" s="68"/>
      <c r="F100" s="68"/>
      <c r="G100" s="69"/>
    </row>
    <row r="101" spans="1:7" x14ac:dyDescent="0.25">
      <c r="A101" s="70"/>
      <c r="B101" s="28" t="s">
        <v>44</v>
      </c>
      <c r="C101" s="28" t="s">
        <v>45</v>
      </c>
      <c r="D101" s="28" t="s">
        <v>46</v>
      </c>
      <c r="E101" s="28" t="s">
        <v>47</v>
      </c>
      <c r="F101" s="28" t="s">
        <v>48</v>
      </c>
      <c r="G101" s="71"/>
    </row>
    <row r="102" spans="1:7" x14ac:dyDescent="0.25">
      <c r="A102" s="70">
        <f>1/12</f>
        <v>8.3333333333333329E-2</v>
      </c>
      <c r="B102" s="28">
        <f>B8*$A102</f>
        <v>0</v>
      </c>
      <c r="C102" s="28">
        <f>E8*$A102</f>
        <v>0</v>
      </c>
      <c r="D102" s="28">
        <f>H8*$A102</f>
        <v>0</v>
      </c>
      <c r="E102" s="28">
        <f>K8*$A102</f>
        <v>0</v>
      </c>
      <c r="F102" s="28">
        <f>N8*$A102</f>
        <v>0</v>
      </c>
      <c r="G102" s="71"/>
    </row>
    <row r="103" spans="1:7" x14ac:dyDescent="0.25">
      <c r="A103" s="70">
        <f>2/12</f>
        <v>0.16666666666666666</v>
      </c>
      <c r="B103" s="28">
        <f t="shared" ref="B103:B113" si="1">B9*$A103</f>
        <v>0</v>
      </c>
      <c r="C103" s="28">
        <f t="shared" ref="C103:C113" si="2">E9*$A103</f>
        <v>0</v>
      </c>
      <c r="D103" s="28">
        <f t="shared" ref="D103:D113" si="3">H9*$A103</f>
        <v>0</v>
      </c>
      <c r="E103" s="28">
        <f t="shared" ref="E103:E113" si="4">K9*$A103</f>
        <v>0</v>
      </c>
      <c r="F103" s="28">
        <f t="shared" ref="F103:F113" si="5">N9*$A103</f>
        <v>0</v>
      </c>
      <c r="G103" s="71"/>
    </row>
    <row r="104" spans="1:7" x14ac:dyDescent="0.25">
      <c r="A104" s="70">
        <f>3/12</f>
        <v>0.25</v>
      </c>
      <c r="B104" s="28">
        <f t="shared" si="1"/>
        <v>200</v>
      </c>
      <c r="C104" s="28">
        <f t="shared" si="2"/>
        <v>150</v>
      </c>
      <c r="D104" s="28">
        <f t="shared" si="3"/>
        <v>875</v>
      </c>
      <c r="E104" s="28">
        <f t="shared" si="4"/>
        <v>0</v>
      </c>
      <c r="F104" s="28">
        <f t="shared" si="5"/>
        <v>0</v>
      </c>
      <c r="G104" s="71"/>
    </row>
    <row r="105" spans="1:7" x14ac:dyDescent="0.25">
      <c r="A105" s="70">
        <f>4/12</f>
        <v>0.33333333333333331</v>
      </c>
      <c r="B105" s="28">
        <f t="shared" si="1"/>
        <v>0</v>
      </c>
      <c r="C105" s="28">
        <f t="shared" si="2"/>
        <v>0</v>
      </c>
      <c r="D105" s="28">
        <f t="shared" si="3"/>
        <v>0</v>
      </c>
      <c r="E105" s="28">
        <f t="shared" si="4"/>
        <v>500</v>
      </c>
      <c r="F105" s="28">
        <f t="shared" si="5"/>
        <v>833.33333333333326</v>
      </c>
      <c r="G105" s="71"/>
    </row>
    <row r="106" spans="1:7" x14ac:dyDescent="0.25">
      <c r="A106" s="70">
        <f>5/12</f>
        <v>0.41666666666666669</v>
      </c>
      <c r="B106" s="28">
        <f t="shared" si="1"/>
        <v>374.16666666666669</v>
      </c>
      <c r="C106" s="28">
        <f t="shared" si="2"/>
        <v>270</v>
      </c>
      <c r="D106" s="28">
        <f t="shared" si="3"/>
        <v>1041.6666666666667</v>
      </c>
      <c r="E106" s="28">
        <f t="shared" si="4"/>
        <v>625</v>
      </c>
      <c r="F106" s="28">
        <f t="shared" si="5"/>
        <v>0</v>
      </c>
      <c r="G106" s="71"/>
    </row>
    <row r="107" spans="1:7" x14ac:dyDescent="0.25">
      <c r="A107" s="70">
        <f>6/12</f>
        <v>0.5</v>
      </c>
      <c r="B107" s="28">
        <f t="shared" si="1"/>
        <v>0</v>
      </c>
      <c r="C107" s="28">
        <f t="shared" si="2"/>
        <v>0</v>
      </c>
      <c r="D107" s="28">
        <f t="shared" si="3"/>
        <v>0</v>
      </c>
      <c r="E107" s="28">
        <f t="shared" si="4"/>
        <v>600</v>
      </c>
      <c r="F107" s="28">
        <f t="shared" si="5"/>
        <v>0</v>
      </c>
      <c r="G107" s="71"/>
    </row>
    <row r="108" spans="1:7" x14ac:dyDescent="0.25">
      <c r="A108" s="70">
        <f>7/12</f>
        <v>0.58333333333333337</v>
      </c>
      <c r="B108" s="28">
        <f t="shared" si="1"/>
        <v>0</v>
      </c>
      <c r="C108" s="28">
        <f t="shared" si="2"/>
        <v>0</v>
      </c>
      <c r="D108" s="28">
        <f t="shared" si="3"/>
        <v>1267.5833333333335</v>
      </c>
      <c r="E108" s="28">
        <f t="shared" si="4"/>
        <v>1066.9166666666667</v>
      </c>
      <c r="F108" s="28">
        <f t="shared" si="5"/>
        <v>598.5</v>
      </c>
      <c r="G108" s="71"/>
    </row>
    <row r="109" spans="1:7" x14ac:dyDescent="0.25">
      <c r="A109" s="70">
        <f>8/12</f>
        <v>0.66666666666666663</v>
      </c>
      <c r="B109" s="28">
        <f t="shared" si="1"/>
        <v>0</v>
      </c>
      <c r="C109" s="28">
        <f t="shared" si="2"/>
        <v>0</v>
      </c>
      <c r="D109" s="28">
        <f t="shared" si="3"/>
        <v>0</v>
      </c>
      <c r="E109" s="28">
        <f t="shared" si="4"/>
        <v>0</v>
      </c>
      <c r="F109" s="28">
        <f t="shared" si="5"/>
        <v>0</v>
      </c>
      <c r="G109" s="71"/>
    </row>
    <row r="110" spans="1:7" x14ac:dyDescent="0.25">
      <c r="A110" s="70">
        <f>9/12</f>
        <v>0.75</v>
      </c>
      <c r="B110" s="28">
        <f t="shared" si="1"/>
        <v>0</v>
      </c>
      <c r="C110" s="28">
        <f t="shared" si="2"/>
        <v>0</v>
      </c>
      <c r="D110" s="28">
        <f t="shared" si="3"/>
        <v>0</v>
      </c>
      <c r="E110" s="28">
        <f t="shared" si="4"/>
        <v>0</v>
      </c>
      <c r="F110" s="28">
        <f t="shared" si="5"/>
        <v>0</v>
      </c>
      <c r="G110" s="71"/>
    </row>
    <row r="111" spans="1:7" x14ac:dyDescent="0.25">
      <c r="A111" s="70">
        <f>10/12</f>
        <v>0.83333333333333337</v>
      </c>
      <c r="B111" s="28">
        <f t="shared" si="1"/>
        <v>0</v>
      </c>
      <c r="C111" s="28">
        <f t="shared" si="2"/>
        <v>0</v>
      </c>
      <c r="D111" s="28">
        <f t="shared" si="3"/>
        <v>0</v>
      </c>
      <c r="E111" s="28">
        <f t="shared" si="4"/>
        <v>0</v>
      </c>
      <c r="F111" s="28">
        <f t="shared" si="5"/>
        <v>0</v>
      </c>
      <c r="G111" s="71"/>
    </row>
    <row r="112" spans="1:7" x14ac:dyDescent="0.25">
      <c r="A112" s="70">
        <f>11/12</f>
        <v>0.91666666666666663</v>
      </c>
      <c r="B112" s="28">
        <f t="shared" si="1"/>
        <v>0</v>
      </c>
      <c r="C112" s="28">
        <f t="shared" si="2"/>
        <v>0</v>
      </c>
      <c r="D112" s="28">
        <f t="shared" si="3"/>
        <v>0</v>
      </c>
      <c r="E112" s="28">
        <f t="shared" si="4"/>
        <v>0</v>
      </c>
      <c r="F112" s="28">
        <f t="shared" si="5"/>
        <v>0</v>
      </c>
      <c r="G112" s="71"/>
    </row>
    <row r="113" spans="1:7" x14ac:dyDescent="0.25">
      <c r="A113" s="70">
        <f>12/12</f>
        <v>1</v>
      </c>
      <c r="B113" s="28">
        <f t="shared" si="1"/>
        <v>0</v>
      </c>
      <c r="C113" s="28">
        <f t="shared" si="2"/>
        <v>0</v>
      </c>
      <c r="D113" s="28">
        <f t="shared" si="3"/>
        <v>0</v>
      </c>
      <c r="E113" s="28">
        <f t="shared" si="4"/>
        <v>0</v>
      </c>
      <c r="F113" s="28">
        <f t="shared" si="5"/>
        <v>0</v>
      </c>
      <c r="G113" s="71"/>
    </row>
    <row r="114" spans="1:7" x14ac:dyDescent="0.25">
      <c r="A114" s="72" t="s">
        <v>78</v>
      </c>
      <c r="B114" s="56">
        <f>SUM(B102:B113)</f>
        <v>574.16666666666674</v>
      </c>
      <c r="C114" s="56">
        <f t="shared" ref="C114:F114" si="6">SUM(C102:C113)</f>
        <v>420</v>
      </c>
      <c r="D114" s="56">
        <f t="shared" si="6"/>
        <v>3184.25</v>
      </c>
      <c r="E114" s="56">
        <f t="shared" si="6"/>
        <v>2791.916666666667</v>
      </c>
      <c r="F114" s="56">
        <f t="shared" si="6"/>
        <v>1431.8333333333333</v>
      </c>
      <c r="G114" s="73">
        <f>SUM(B114:F114)</f>
        <v>8402.1666666666679</v>
      </c>
    </row>
    <row r="115" spans="1:7" x14ac:dyDescent="0.25">
      <c r="A115" s="67"/>
      <c r="B115" s="68" t="s">
        <v>49</v>
      </c>
      <c r="C115" s="68"/>
      <c r="D115" s="68"/>
      <c r="E115" s="68"/>
      <c r="F115" s="68"/>
      <c r="G115" s="69"/>
    </row>
    <row r="116" spans="1:7" x14ac:dyDescent="0.25">
      <c r="A116" s="70"/>
      <c r="B116" s="28" t="s">
        <v>44</v>
      </c>
      <c r="C116" s="28" t="s">
        <v>45</v>
      </c>
      <c r="D116" s="28" t="s">
        <v>46</v>
      </c>
      <c r="E116" s="28" t="s">
        <v>47</v>
      </c>
      <c r="F116" s="28" t="s">
        <v>48</v>
      </c>
      <c r="G116" s="71"/>
    </row>
    <row r="117" spans="1:7" x14ac:dyDescent="0.25">
      <c r="A117" s="70">
        <f>1/12</f>
        <v>8.3333333333333329E-2</v>
      </c>
      <c r="B117" s="28">
        <f t="shared" ref="B117:B128" si="7">C8*$A117</f>
        <v>0</v>
      </c>
      <c r="C117" s="28">
        <f t="shared" ref="C117:C128" si="8">F8*$A117</f>
        <v>0</v>
      </c>
      <c r="D117" s="28">
        <f t="shared" ref="D117:D128" si="9">I8*$A117</f>
        <v>0</v>
      </c>
      <c r="E117" s="28">
        <f t="shared" ref="E117:E128" si="10">L8*$A117</f>
        <v>0</v>
      </c>
      <c r="F117" s="28">
        <f t="shared" ref="F117:F128" si="11">O8*$A117</f>
        <v>0</v>
      </c>
      <c r="G117" s="71"/>
    </row>
    <row r="118" spans="1:7" x14ac:dyDescent="0.25">
      <c r="A118" s="70">
        <f>2/12</f>
        <v>0.16666666666666666</v>
      </c>
      <c r="B118" s="28">
        <f t="shared" si="7"/>
        <v>0</v>
      </c>
      <c r="C118" s="28">
        <f t="shared" si="8"/>
        <v>0</v>
      </c>
      <c r="D118" s="28">
        <f t="shared" si="9"/>
        <v>0</v>
      </c>
      <c r="E118" s="28">
        <f t="shared" si="10"/>
        <v>0</v>
      </c>
      <c r="F118" s="28">
        <f t="shared" si="11"/>
        <v>0</v>
      </c>
      <c r="G118" s="71"/>
    </row>
    <row r="119" spans="1:7" x14ac:dyDescent="0.25">
      <c r="A119" s="70">
        <f>3/12</f>
        <v>0.25</v>
      </c>
      <c r="B119" s="28">
        <f t="shared" si="7"/>
        <v>0</v>
      </c>
      <c r="C119" s="28">
        <f t="shared" si="8"/>
        <v>0</v>
      </c>
      <c r="D119" s="28">
        <f t="shared" si="9"/>
        <v>0</v>
      </c>
      <c r="E119" s="28">
        <f t="shared" si="10"/>
        <v>0</v>
      </c>
      <c r="F119" s="28">
        <f t="shared" si="11"/>
        <v>0</v>
      </c>
      <c r="G119" s="71"/>
    </row>
    <row r="120" spans="1:7" x14ac:dyDescent="0.25">
      <c r="A120" s="70">
        <f>4/12</f>
        <v>0.33333333333333331</v>
      </c>
      <c r="B120" s="28">
        <f t="shared" si="7"/>
        <v>0</v>
      </c>
      <c r="C120" s="28">
        <f t="shared" si="8"/>
        <v>0</v>
      </c>
      <c r="D120" s="28">
        <f t="shared" si="9"/>
        <v>0</v>
      </c>
      <c r="E120" s="28">
        <f t="shared" si="10"/>
        <v>0</v>
      </c>
      <c r="F120" s="28">
        <f t="shared" si="11"/>
        <v>0</v>
      </c>
      <c r="G120" s="71"/>
    </row>
    <row r="121" spans="1:7" x14ac:dyDescent="0.25">
      <c r="A121" s="70">
        <f>5/12</f>
        <v>0.41666666666666669</v>
      </c>
      <c r="B121" s="28">
        <f t="shared" si="7"/>
        <v>0</v>
      </c>
      <c r="C121" s="28">
        <f t="shared" si="8"/>
        <v>0</v>
      </c>
      <c r="D121" s="28">
        <f t="shared" si="9"/>
        <v>0</v>
      </c>
      <c r="E121" s="28">
        <f t="shared" si="10"/>
        <v>0</v>
      </c>
      <c r="F121" s="28">
        <f t="shared" si="11"/>
        <v>0</v>
      </c>
      <c r="G121" s="71"/>
    </row>
    <row r="122" spans="1:7" x14ac:dyDescent="0.25">
      <c r="A122" s="70">
        <f>6/12</f>
        <v>0.5</v>
      </c>
      <c r="B122" s="28">
        <f t="shared" si="7"/>
        <v>0</v>
      </c>
      <c r="C122" s="28">
        <f t="shared" si="8"/>
        <v>0</v>
      </c>
      <c r="D122" s="28">
        <f t="shared" si="9"/>
        <v>0</v>
      </c>
      <c r="E122" s="28">
        <f t="shared" si="10"/>
        <v>0</v>
      </c>
      <c r="F122" s="28">
        <f t="shared" si="11"/>
        <v>0</v>
      </c>
      <c r="G122" s="71"/>
    </row>
    <row r="123" spans="1:7" x14ac:dyDescent="0.25">
      <c r="A123" s="70">
        <f>7/12</f>
        <v>0.58333333333333337</v>
      </c>
      <c r="B123" s="28">
        <f t="shared" si="7"/>
        <v>0</v>
      </c>
      <c r="C123" s="28">
        <f t="shared" si="8"/>
        <v>0</v>
      </c>
      <c r="D123" s="28">
        <f t="shared" si="9"/>
        <v>0</v>
      </c>
      <c r="E123" s="28">
        <f t="shared" si="10"/>
        <v>0</v>
      </c>
      <c r="F123" s="28">
        <f t="shared" si="11"/>
        <v>0</v>
      </c>
      <c r="G123" s="71"/>
    </row>
    <row r="124" spans="1:7" x14ac:dyDescent="0.25">
      <c r="A124" s="70">
        <f>8/12</f>
        <v>0.66666666666666663</v>
      </c>
      <c r="B124" s="28">
        <f t="shared" si="7"/>
        <v>0</v>
      </c>
      <c r="C124" s="28">
        <f t="shared" si="8"/>
        <v>0</v>
      </c>
      <c r="D124" s="28">
        <f t="shared" si="9"/>
        <v>0</v>
      </c>
      <c r="E124" s="28">
        <f t="shared" si="10"/>
        <v>0</v>
      </c>
      <c r="F124" s="28">
        <f t="shared" si="11"/>
        <v>0</v>
      </c>
      <c r="G124" s="71"/>
    </row>
    <row r="125" spans="1:7" x14ac:dyDescent="0.25">
      <c r="A125" s="70">
        <f>9/12</f>
        <v>0.75</v>
      </c>
      <c r="B125" s="28">
        <f t="shared" si="7"/>
        <v>0</v>
      </c>
      <c r="C125" s="28">
        <f t="shared" si="8"/>
        <v>0</v>
      </c>
      <c r="D125" s="28">
        <f t="shared" si="9"/>
        <v>0</v>
      </c>
      <c r="E125" s="28">
        <f t="shared" si="10"/>
        <v>0</v>
      </c>
      <c r="F125" s="28">
        <f t="shared" si="11"/>
        <v>0</v>
      </c>
      <c r="G125" s="71"/>
    </row>
    <row r="126" spans="1:7" x14ac:dyDescent="0.25">
      <c r="A126" s="70">
        <f>10/12</f>
        <v>0.83333333333333337</v>
      </c>
      <c r="B126" s="28">
        <f t="shared" si="7"/>
        <v>0</v>
      </c>
      <c r="C126" s="28">
        <f t="shared" si="8"/>
        <v>0</v>
      </c>
      <c r="D126" s="28">
        <f t="shared" si="9"/>
        <v>0</v>
      </c>
      <c r="E126" s="28">
        <f t="shared" si="10"/>
        <v>0</v>
      </c>
      <c r="F126" s="28">
        <f t="shared" si="11"/>
        <v>0</v>
      </c>
      <c r="G126" s="71"/>
    </row>
    <row r="127" spans="1:7" x14ac:dyDescent="0.25">
      <c r="A127" s="70">
        <f>11/12</f>
        <v>0.91666666666666663</v>
      </c>
      <c r="B127" s="28">
        <f t="shared" si="7"/>
        <v>0</v>
      </c>
      <c r="C127" s="28">
        <f t="shared" si="8"/>
        <v>0</v>
      </c>
      <c r="D127" s="28">
        <f t="shared" si="9"/>
        <v>0</v>
      </c>
      <c r="E127" s="28">
        <f t="shared" si="10"/>
        <v>0</v>
      </c>
      <c r="F127" s="28">
        <f t="shared" si="11"/>
        <v>0</v>
      </c>
      <c r="G127" s="71"/>
    </row>
    <row r="128" spans="1:7" x14ac:dyDescent="0.25">
      <c r="A128" s="70">
        <f>12/12</f>
        <v>1</v>
      </c>
      <c r="B128" s="28">
        <f t="shared" si="7"/>
        <v>0</v>
      </c>
      <c r="C128" s="28">
        <f t="shared" si="8"/>
        <v>0</v>
      </c>
      <c r="D128" s="28">
        <f t="shared" si="9"/>
        <v>0</v>
      </c>
      <c r="E128" s="28">
        <f t="shared" si="10"/>
        <v>0</v>
      </c>
      <c r="F128" s="28">
        <f t="shared" si="11"/>
        <v>0</v>
      </c>
      <c r="G128" s="71"/>
    </row>
    <row r="129" spans="1:7" x14ac:dyDescent="0.25">
      <c r="A129" s="72" t="s">
        <v>78</v>
      </c>
      <c r="B129" s="56">
        <f>SUM(B117:B128)</f>
        <v>0</v>
      </c>
      <c r="C129" s="56">
        <f t="shared" ref="C129" si="12">SUM(C117:C128)</f>
        <v>0</v>
      </c>
      <c r="D129" s="56">
        <f t="shared" ref="D129" si="13">SUM(D117:D128)</f>
        <v>0</v>
      </c>
      <c r="E129" s="56">
        <f t="shared" ref="E129" si="14">SUM(E117:E128)</f>
        <v>0</v>
      </c>
      <c r="F129" s="56">
        <f t="shared" ref="F129" si="15">SUM(F117:F128)</f>
        <v>0</v>
      </c>
      <c r="G129" s="73">
        <f>SUM(B129:F129)</f>
        <v>0</v>
      </c>
    </row>
    <row r="130" spans="1:7" x14ac:dyDescent="0.25">
      <c r="A130" s="67"/>
      <c r="B130" s="68" t="s">
        <v>50</v>
      </c>
      <c r="C130" s="68"/>
      <c r="D130" s="68"/>
      <c r="E130" s="68"/>
      <c r="F130" s="68"/>
      <c r="G130" s="69"/>
    </row>
    <row r="131" spans="1:7" x14ac:dyDescent="0.25">
      <c r="A131" s="70"/>
      <c r="B131" s="28" t="s">
        <v>44</v>
      </c>
      <c r="C131" s="28" t="s">
        <v>45</v>
      </c>
      <c r="D131" s="28" t="s">
        <v>46</v>
      </c>
      <c r="E131" s="28" t="s">
        <v>47</v>
      </c>
      <c r="F131" s="28" t="s">
        <v>48</v>
      </c>
      <c r="G131" s="71"/>
    </row>
    <row r="132" spans="1:7" x14ac:dyDescent="0.25">
      <c r="A132" s="70">
        <f>1/12</f>
        <v>8.3333333333333329E-2</v>
      </c>
      <c r="B132" s="28">
        <f t="shared" ref="B132:B143" si="16">D8*$A132</f>
        <v>0</v>
      </c>
      <c r="C132" s="28">
        <f t="shared" ref="C132:C143" si="17">G8*$A132</f>
        <v>0</v>
      </c>
      <c r="D132" s="28">
        <f t="shared" ref="D132:D143" si="18">J8*$A132</f>
        <v>0</v>
      </c>
      <c r="E132" s="28">
        <f t="shared" ref="E132:E143" si="19">M8*$A132</f>
        <v>0</v>
      </c>
      <c r="F132" s="28">
        <f t="shared" ref="F132:F143" si="20">P8*$A132</f>
        <v>0</v>
      </c>
      <c r="G132" s="71"/>
    </row>
    <row r="133" spans="1:7" x14ac:dyDescent="0.25">
      <c r="A133" s="70">
        <f>2/12</f>
        <v>0.16666666666666666</v>
      </c>
      <c r="B133" s="28">
        <f t="shared" si="16"/>
        <v>0</v>
      </c>
      <c r="C133" s="28">
        <f t="shared" si="17"/>
        <v>0</v>
      </c>
      <c r="D133" s="28">
        <f t="shared" si="18"/>
        <v>0</v>
      </c>
      <c r="E133" s="28">
        <f t="shared" si="19"/>
        <v>0</v>
      </c>
      <c r="F133" s="28">
        <f t="shared" si="20"/>
        <v>0</v>
      </c>
      <c r="G133" s="71"/>
    </row>
    <row r="134" spans="1:7" x14ac:dyDescent="0.25">
      <c r="A134" s="70">
        <f>3/12</f>
        <v>0.25</v>
      </c>
      <c r="B134" s="28">
        <f t="shared" si="16"/>
        <v>0</v>
      </c>
      <c r="C134" s="28">
        <f t="shared" si="17"/>
        <v>0</v>
      </c>
      <c r="D134" s="28">
        <f t="shared" si="18"/>
        <v>1250</v>
      </c>
      <c r="E134" s="28">
        <f t="shared" si="19"/>
        <v>0</v>
      </c>
      <c r="F134" s="28">
        <f t="shared" si="20"/>
        <v>375</v>
      </c>
      <c r="G134" s="71"/>
    </row>
    <row r="135" spans="1:7" x14ac:dyDescent="0.25">
      <c r="A135" s="70">
        <f>4/12</f>
        <v>0.33333333333333331</v>
      </c>
      <c r="B135" s="28">
        <f t="shared" si="16"/>
        <v>288</v>
      </c>
      <c r="C135" s="28">
        <f t="shared" si="17"/>
        <v>500</v>
      </c>
      <c r="D135" s="28">
        <f t="shared" si="18"/>
        <v>1666.6666666666665</v>
      </c>
      <c r="E135" s="28">
        <f t="shared" si="19"/>
        <v>833.33333333333326</v>
      </c>
      <c r="F135" s="28">
        <f t="shared" si="20"/>
        <v>0</v>
      </c>
      <c r="G135" s="71"/>
    </row>
    <row r="136" spans="1:7" x14ac:dyDescent="0.25">
      <c r="A136" s="70">
        <f>5/12</f>
        <v>0.41666666666666669</v>
      </c>
      <c r="B136" s="28">
        <f t="shared" si="16"/>
        <v>0</v>
      </c>
      <c r="C136" s="28">
        <f t="shared" si="17"/>
        <v>0</v>
      </c>
      <c r="D136" s="28">
        <f t="shared" si="18"/>
        <v>0</v>
      </c>
      <c r="E136" s="28">
        <f t="shared" si="19"/>
        <v>0</v>
      </c>
      <c r="F136" s="28">
        <f t="shared" si="20"/>
        <v>833.33333333333337</v>
      </c>
      <c r="G136" s="71"/>
    </row>
    <row r="137" spans="1:7" x14ac:dyDescent="0.25">
      <c r="A137" s="70">
        <f>6/12</f>
        <v>0.5</v>
      </c>
      <c r="B137" s="28">
        <f t="shared" si="16"/>
        <v>0</v>
      </c>
      <c r="C137" s="28">
        <f t="shared" si="17"/>
        <v>0</v>
      </c>
      <c r="D137" s="28">
        <f t="shared" si="18"/>
        <v>0</v>
      </c>
      <c r="E137" s="28">
        <f t="shared" si="19"/>
        <v>0</v>
      </c>
      <c r="F137" s="28">
        <f t="shared" si="20"/>
        <v>0</v>
      </c>
      <c r="G137" s="71"/>
    </row>
    <row r="138" spans="1:7" x14ac:dyDescent="0.25">
      <c r="A138" s="70">
        <f>7/12</f>
        <v>0.58333333333333337</v>
      </c>
      <c r="B138" s="28">
        <f t="shared" si="16"/>
        <v>0</v>
      </c>
      <c r="C138" s="28">
        <f t="shared" si="17"/>
        <v>0</v>
      </c>
      <c r="D138" s="28">
        <f t="shared" si="18"/>
        <v>0</v>
      </c>
      <c r="E138" s="28">
        <f t="shared" si="19"/>
        <v>0</v>
      </c>
      <c r="F138" s="28">
        <f t="shared" si="20"/>
        <v>0</v>
      </c>
      <c r="G138" s="71"/>
    </row>
    <row r="139" spans="1:7" x14ac:dyDescent="0.25">
      <c r="A139" s="70">
        <f>8/12</f>
        <v>0.66666666666666663</v>
      </c>
      <c r="B139" s="28">
        <f t="shared" si="16"/>
        <v>0</v>
      </c>
      <c r="C139" s="28">
        <f t="shared" si="17"/>
        <v>1222.6666666666665</v>
      </c>
      <c r="D139" s="28">
        <f t="shared" si="18"/>
        <v>3333.333333333333</v>
      </c>
      <c r="E139" s="28">
        <f t="shared" si="19"/>
        <v>1514.6666666666665</v>
      </c>
      <c r="F139" s="28">
        <f t="shared" si="20"/>
        <v>1442.6666666666665</v>
      </c>
      <c r="G139" s="71"/>
    </row>
    <row r="140" spans="1:7" x14ac:dyDescent="0.25">
      <c r="A140" s="70">
        <f>9/12</f>
        <v>0.75</v>
      </c>
      <c r="B140" s="28">
        <f t="shared" si="16"/>
        <v>0</v>
      </c>
      <c r="C140" s="28">
        <f t="shared" si="17"/>
        <v>0</v>
      </c>
      <c r="D140" s="28">
        <f t="shared" si="18"/>
        <v>1704</v>
      </c>
      <c r="E140" s="28">
        <f t="shared" si="19"/>
        <v>0</v>
      </c>
      <c r="F140" s="28">
        <f t="shared" si="20"/>
        <v>0</v>
      </c>
      <c r="G140" s="71"/>
    </row>
    <row r="141" spans="1:7" x14ac:dyDescent="0.25">
      <c r="A141" s="70">
        <f>10/12</f>
        <v>0.83333333333333337</v>
      </c>
      <c r="B141" s="28">
        <f t="shared" si="16"/>
        <v>0</v>
      </c>
      <c r="C141" s="28">
        <f t="shared" si="17"/>
        <v>0</v>
      </c>
      <c r="D141" s="28">
        <f t="shared" si="18"/>
        <v>0</v>
      </c>
      <c r="E141" s="28">
        <f t="shared" si="19"/>
        <v>0</v>
      </c>
      <c r="F141" s="28">
        <f t="shared" si="20"/>
        <v>0</v>
      </c>
      <c r="G141" s="71"/>
    </row>
    <row r="142" spans="1:7" x14ac:dyDescent="0.25">
      <c r="A142" s="70">
        <f>11/12</f>
        <v>0.91666666666666663</v>
      </c>
      <c r="B142" s="28">
        <f t="shared" si="16"/>
        <v>0</v>
      </c>
      <c r="C142" s="28">
        <f t="shared" si="17"/>
        <v>0</v>
      </c>
      <c r="D142" s="28">
        <f t="shared" si="18"/>
        <v>0</v>
      </c>
      <c r="E142" s="28">
        <f t="shared" si="19"/>
        <v>0</v>
      </c>
      <c r="F142" s="28">
        <f t="shared" si="20"/>
        <v>0</v>
      </c>
      <c r="G142" s="71"/>
    </row>
    <row r="143" spans="1:7" x14ac:dyDescent="0.25">
      <c r="A143" s="70">
        <f>12/12</f>
        <v>1</v>
      </c>
      <c r="B143" s="28">
        <f t="shared" si="16"/>
        <v>0</v>
      </c>
      <c r="C143" s="28">
        <f t="shared" si="17"/>
        <v>0</v>
      </c>
      <c r="D143" s="28">
        <f t="shared" si="18"/>
        <v>0</v>
      </c>
      <c r="E143" s="28">
        <f t="shared" si="19"/>
        <v>0</v>
      </c>
      <c r="F143" s="28">
        <f t="shared" si="20"/>
        <v>0</v>
      </c>
      <c r="G143" s="71"/>
    </row>
    <row r="144" spans="1:7" x14ac:dyDescent="0.25">
      <c r="A144" s="72" t="s">
        <v>78</v>
      </c>
      <c r="B144" s="56">
        <f>SUM(B132:B143)</f>
        <v>288</v>
      </c>
      <c r="C144" s="56">
        <f t="shared" ref="C144" si="21">SUM(C132:C143)</f>
        <v>1722.6666666666665</v>
      </c>
      <c r="D144" s="56">
        <f t="shared" ref="D144" si="22">SUM(D132:D143)</f>
        <v>7954</v>
      </c>
      <c r="E144" s="56">
        <f t="shared" ref="E144" si="23">SUM(E132:E143)</f>
        <v>2348</v>
      </c>
      <c r="F144" s="56">
        <f t="shared" ref="F144" si="24">SUM(F132:F143)</f>
        <v>2651</v>
      </c>
      <c r="G144" s="73">
        <f>SUM(B144:F144)</f>
        <v>14963.666666666666</v>
      </c>
    </row>
  </sheetData>
  <sheetProtection algorithmName="SHA-512" hashValue="Jj86WCOHXbUHuNCIFq5U61aHT2FXjmeeartS6FRnWwynqhxumVE9b1EyU3o/t4ohMhCFPxdmRciy7WQFsvz98w==" saltValue="yq2DlUHhRzmARGOvgzPHBg==" spinCount="100000" sheet="1" objects="1" scenarios="1"/>
  <mergeCells count="13">
    <mergeCell ref="A34:B34"/>
    <mergeCell ref="H1:J3"/>
    <mergeCell ref="B6:D6"/>
    <mergeCell ref="E6:G6"/>
    <mergeCell ref="H6:J6"/>
    <mergeCell ref="K6:M6"/>
    <mergeCell ref="A22:B22"/>
    <mergeCell ref="K5:M5"/>
    <mergeCell ref="N5:P5"/>
    <mergeCell ref="B5:D5"/>
    <mergeCell ref="E5:G5"/>
    <mergeCell ref="H5:J5"/>
    <mergeCell ref="N6:P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144"/>
  <sheetViews>
    <sheetView zoomScale="90" zoomScaleNormal="90" workbookViewId="0">
      <selection activeCell="A59" sqref="A59"/>
    </sheetView>
  </sheetViews>
  <sheetFormatPr defaultRowHeight="15" x14ac:dyDescent="0.25"/>
  <cols>
    <col min="1" max="1" width="23.28515625" style="22" customWidth="1"/>
    <col min="2" max="2" width="14.85546875" style="35" customWidth="1"/>
    <col min="3" max="4" width="14.85546875" style="22" customWidth="1"/>
    <col min="5" max="16" width="12.28515625" style="22" customWidth="1"/>
    <col min="17" max="16384" width="9.140625" style="22"/>
  </cols>
  <sheetData>
    <row r="1" spans="1:16" ht="27" customHeight="1" x14ac:dyDescent="0.25">
      <c r="A1" s="78"/>
      <c r="B1" s="22"/>
      <c r="C1" s="187"/>
      <c r="D1" s="187"/>
      <c r="E1" s="187"/>
      <c r="F1" s="24"/>
      <c r="G1" s="24"/>
      <c r="H1" s="185" t="s">
        <v>60</v>
      </c>
      <c r="I1" s="185"/>
      <c r="J1" s="185"/>
    </row>
    <row r="2" spans="1:16" ht="38.25" customHeight="1" x14ac:dyDescent="0.25">
      <c r="A2" s="78"/>
      <c r="B2" s="22"/>
      <c r="C2" s="79"/>
      <c r="D2" s="79"/>
      <c r="E2" s="79"/>
      <c r="F2" s="24"/>
      <c r="G2" s="24"/>
      <c r="H2" s="185"/>
      <c r="I2" s="185"/>
      <c r="J2" s="185"/>
    </row>
    <row r="3" spans="1:16" ht="27.75" customHeight="1" thickBot="1" x14ac:dyDescent="0.3">
      <c r="A3" s="78"/>
      <c r="B3" s="1">
        <v>1</v>
      </c>
      <c r="C3" s="79"/>
      <c r="D3" s="79"/>
      <c r="E3" s="79"/>
      <c r="F3" s="24"/>
      <c r="G3" s="24"/>
      <c r="H3" s="186"/>
      <c r="I3" s="186"/>
      <c r="J3" s="186"/>
      <c r="K3" s="21"/>
      <c r="L3" s="21"/>
      <c r="M3" s="21"/>
      <c r="N3" s="21"/>
      <c r="O3" s="21"/>
      <c r="P3" s="21"/>
    </row>
    <row r="4" spans="1:16" ht="42" customHeight="1" x14ac:dyDescent="0.25">
      <c r="A4" s="78"/>
      <c r="B4" s="22"/>
      <c r="C4" s="80"/>
      <c r="D4" s="80"/>
      <c r="E4" s="80"/>
      <c r="H4" s="54"/>
      <c r="I4" s="55"/>
      <c r="J4" s="55"/>
    </row>
    <row r="5" spans="1:16" s="58" customFormat="1" ht="15" customHeight="1" x14ac:dyDescent="0.25">
      <c r="A5" s="57"/>
      <c r="B5" s="179" t="s">
        <v>100</v>
      </c>
      <c r="C5" s="180"/>
      <c r="D5" s="181"/>
      <c r="E5" s="176" t="s">
        <v>101</v>
      </c>
      <c r="F5" s="177"/>
      <c r="G5" s="178"/>
      <c r="H5" s="179" t="s">
        <v>102</v>
      </c>
      <c r="I5" s="180"/>
      <c r="J5" s="181"/>
      <c r="K5" s="176" t="s">
        <v>103</v>
      </c>
      <c r="L5" s="177"/>
      <c r="M5" s="178"/>
      <c r="N5" s="179" t="s">
        <v>104</v>
      </c>
      <c r="O5" s="180"/>
      <c r="P5" s="181"/>
    </row>
    <row r="6" spans="1:16" s="58" customFormat="1" ht="15" customHeight="1" x14ac:dyDescent="0.25">
      <c r="A6" s="57"/>
      <c r="B6" s="188" t="s">
        <v>61</v>
      </c>
      <c r="C6" s="189"/>
      <c r="D6" s="190"/>
      <c r="E6" s="191" t="s">
        <v>57</v>
      </c>
      <c r="F6" s="192"/>
      <c r="G6" s="193"/>
      <c r="H6" s="188" t="s">
        <v>61</v>
      </c>
      <c r="I6" s="189"/>
      <c r="J6" s="190"/>
      <c r="K6" s="191" t="s">
        <v>57</v>
      </c>
      <c r="L6" s="192"/>
      <c r="M6" s="193"/>
      <c r="N6" s="188" t="s">
        <v>61</v>
      </c>
      <c r="O6" s="189"/>
      <c r="P6" s="190"/>
    </row>
    <row r="7" spans="1:16" s="58" customFormat="1" ht="47.25" customHeight="1" x14ac:dyDescent="0.25">
      <c r="A7" s="59" t="s">
        <v>52</v>
      </c>
      <c r="B7" s="60" t="s">
        <v>96</v>
      </c>
      <c r="C7" s="61" t="s">
        <v>98</v>
      </c>
      <c r="D7" s="62" t="s">
        <v>99</v>
      </c>
      <c r="E7" s="74" t="s">
        <v>26</v>
      </c>
      <c r="F7" s="75" t="s">
        <v>31</v>
      </c>
      <c r="G7" s="76" t="s">
        <v>27</v>
      </c>
      <c r="H7" s="63" t="s">
        <v>26</v>
      </c>
      <c r="I7" s="61" t="s">
        <v>31</v>
      </c>
      <c r="J7" s="64" t="s">
        <v>27</v>
      </c>
      <c r="K7" s="74" t="s">
        <v>26</v>
      </c>
      <c r="L7" s="75" t="s">
        <v>31</v>
      </c>
      <c r="M7" s="76" t="s">
        <v>27</v>
      </c>
      <c r="N7" s="63" t="s">
        <v>26</v>
      </c>
      <c r="O7" s="61" t="s">
        <v>31</v>
      </c>
      <c r="P7" s="64" t="s">
        <v>27</v>
      </c>
    </row>
    <row r="8" spans="1:16" ht="15" customHeight="1" x14ac:dyDescent="0.25">
      <c r="A8" s="127" t="str">
        <f>IF($B$3=1,"January","July")</f>
        <v>January</v>
      </c>
      <c r="B8" s="2"/>
      <c r="C8" s="3"/>
      <c r="D8" s="4"/>
      <c r="E8" s="2"/>
      <c r="F8" s="3"/>
      <c r="G8" s="4"/>
      <c r="H8" s="2"/>
      <c r="I8" s="3"/>
      <c r="J8" s="4"/>
      <c r="K8" s="2"/>
      <c r="L8" s="3"/>
      <c r="M8" s="4"/>
      <c r="N8" s="2"/>
      <c r="O8" s="3"/>
      <c r="P8" s="4"/>
    </row>
    <row r="9" spans="1:16" ht="15" customHeight="1" x14ac:dyDescent="0.25">
      <c r="A9" s="127" t="str">
        <f>IF($B$3=1,"February","August")</f>
        <v>February</v>
      </c>
      <c r="B9" s="2"/>
      <c r="C9" s="3"/>
      <c r="D9" s="4"/>
      <c r="E9" s="2"/>
      <c r="F9" s="3"/>
      <c r="G9" s="4"/>
      <c r="H9" s="2"/>
      <c r="I9" s="3"/>
      <c r="J9" s="4"/>
      <c r="K9" s="2"/>
      <c r="L9" s="3"/>
      <c r="M9" s="4"/>
      <c r="N9" s="2"/>
      <c r="O9" s="3"/>
      <c r="P9" s="4"/>
    </row>
    <row r="10" spans="1:16" ht="15" customHeight="1" x14ac:dyDescent="0.25">
      <c r="A10" s="127" t="str">
        <f>IF($B$3=1,"March","September")</f>
        <v>March</v>
      </c>
      <c r="B10" s="2"/>
      <c r="C10" s="3"/>
      <c r="D10" s="4"/>
      <c r="E10" s="2"/>
      <c r="F10" s="3"/>
      <c r="G10" s="4"/>
      <c r="H10" s="2"/>
      <c r="I10" s="3"/>
      <c r="J10" s="4"/>
      <c r="K10" s="2"/>
      <c r="L10" s="3"/>
      <c r="M10" s="4"/>
      <c r="N10" s="2"/>
      <c r="O10" s="3"/>
      <c r="P10" s="4"/>
    </row>
    <row r="11" spans="1:16" ht="15" customHeight="1" x14ac:dyDescent="0.25">
      <c r="A11" s="127" t="str">
        <f>IF($B$3=1,"April","October")</f>
        <v>April</v>
      </c>
      <c r="B11" s="2"/>
      <c r="C11" s="3"/>
      <c r="D11" s="4"/>
      <c r="E11" s="2"/>
      <c r="F11" s="3"/>
      <c r="G11" s="4"/>
      <c r="H11" s="2"/>
      <c r="I11" s="3"/>
      <c r="J11" s="4"/>
      <c r="K11" s="2"/>
      <c r="L11" s="3"/>
      <c r="M11" s="4"/>
      <c r="N11" s="2"/>
      <c r="O11" s="3"/>
      <c r="P11" s="4"/>
    </row>
    <row r="12" spans="1:16" ht="15" customHeight="1" x14ac:dyDescent="0.25">
      <c r="A12" s="127" t="str">
        <f>IF($B$3=1,"May","November")</f>
        <v>May</v>
      </c>
      <c r="B12" s="2"/>
      <c r="C12" s="3"/>
      <c r="D12" s="4"/>
      <c r="E12" s="2"/>
      <c r="F12" s="3"/>
      <c r="G12" s="4"/>
      <c r="H12" s="2"/>
      <c r="I12" s="3"/>
      <c r="J12" s="4"/>
      <c r="K12" s="2"/>
      <c r="L12" s="3"/>
      <c r="M12" s="4"/>
      <c r="N12" s="2"/>
      <c r="O12" s="3"/>
      <c r="P12" s="4"/>
    </row>
    <row r="13" spans="1:16" ht="15" customHeight="1" x14ac:dyDescent="0.25">
      <c r="A13" s="127" t="str">
        <f>IF($B$3=1,"June","December")</f>
        <v>June</v>
      </c>
      <c r="B13" s="2"/>
      <c r="C13" s="3"/>
      <c r="D13" s="4"/>
      <c r="E13" s="2"/>
      <c r="F13" s="3"/>
      <c r="G13" s="4">
        <v>2666</v>
      </c>
      <c r="H13" s="2"/>
      <c r="I13" s="3"/>
      <c r="J13" s="4"/>
      <c r="K13" s="2"/>
      <c r="L13" s="3"/>
      <c r="M13" s="4"/>
      <c r="N13" s="2"/>
      <c r="O13" s="3"/>
      <c r="P13" s="4"/>
    </row>
    <row r="14" spans="1:16" ht="15" customHeight="1" x14ac:dyDescent="0.25">
      <c r="A14" s="127" t="str">
        <f>IF($B$3=1,"July","January")</f>
        <v>July</v>
      </c>
      <c r="B14" s="2"/>
      <c r="C14" s="3"/>
      <c r="D14" s="4"/>
      <c r="E14" s="2"/>
      <c r="F14" s="3"/>
      <c r="G14" s="4"/>
      <c r="H14" s="2"/>
      <c r="I14" s="3"/>
      <c r="J14" s="4"/>
      <c r="K14" s="2"/>
      <c r="L14" s="3"/>
      <c r="M14" s="4"/>
      <c r="N14" s="2"/>
      <c r="O14" s="3"/>
      <c r="P14" s="4"/>
    </row>
    <row r="15" spans="1:16" ht="15" customHeight="1" x14ac:dyDescent="0.25">
      <c r="A15" s="127" t="str">
        <f>IF($B$3=1,"August","February")</f>
        <v>August</v>
      </c>
      <c r="B15" s="2"/>
      <c r="C15" s="3"/>
      <c r="D15" s="4"/>
      <c r="E15" s="2"/>
      <c r="F15" s="3"/>
      <c r="G15" s="4"/>
      <c r="H15" s="2"/>
      <c r="I15" s="3"/>
      <c r="J15" s="4"/>
      <c r="K15" s="2"/>
      <c r="L15" s="3"/>
      <c r="M15" s="4"/>
      <c r="N15" s="2"/>
      <c r="O15" s="3"/>
      <c r="P15" s="4"/>
    </row>
    <row r="16" spans="1:16" ht="15" customHeight="1" x14ac:dyDescent="0.25">
      <c r="A16" s="127" t="str">
        <f>IF($B$3=1,"September","March")</f>
        <v>September</v>
      </c>
      <c r="B16" s="2"/>
      <c r="C16" s="3"/>
      <c r="D16" s="4"/>
      <c r="E16" s="2"/>
      <c r="F16" s="3"/>
      <c r="G16" s="4"/>
      <c r="H16" s="2"/>
      <c r="I16" s="3"/>
      <c r="J16" s="4"/>
      <c r="K16" s="2"/>
      <c r="L16" s="3"/>
      <c r="M16" s="4"/>
      <c r="N16" s="2"/>
      <c r="O16" s="3"/>
      <c r="P16" s="4"/>
    </row>
    <row r="17" spans="1:16" ht="15" customHeight="1" x14ac:dyDescent="0.25">
      <c r="A17" s="127" t="str">
        <f>IF($B$3=1,"October","April")</f>
        <v>October</v>
      </c>
      <c r="B17" s="2"/>
      <c r="C17" s="3"/>
      <c r="D17" s="4"/>
      <c r="E17" s="2"/>
      <c r="F17" s="3"/>
      <c r="G17" s="4"/>
      <c r="H17" s="2"/>
      <c r="I17" s="3"/>
      <c r="J17" s="4"/>
      <c r="K17" s="2"/>
      <c r="L17" s="3"/>
      <c r="M17" s="4"/>
      <c r="N17" s="2"/>
      <c r="O17" s="3"/>
      <c r="P17" s="4"/>
    </row>
    <row r="18" spans="1:16" ht="15" customHeight="1" x14ac:dyDescent="0.25">
      <c r="A18" s="127" t="str">
        <f>IF($B$3=1,"November","May")</f>
        <v>November</v>
      </c>
      <c r="B18" s="2"/>
      <c r="C18" s="3"/>
      <c r="D18" s="4"/>
      <c r="E18" s="2"/>
      <c r="F18" s="3"/>
      <c r="G18" s="4"/>
      <c r="H18" s="2"/>
      <c r="I18" s="3"/>
      <c r="J18" s="4"/>
      <c r="K18" s="2"/>
      <c r="L18" s="3"/>
      <c r="M18" s="4"/>
      <c r="N18" s="2"/>
      <c r="O18" s="3"/>
      <c r="P18" s="4"/>
    </row>
    <row r="19" spans="1:16" ht="15" customHeight="1" x14ac:dyDescent="0.25">
      <c r="A19" s="127" t="str">
        <f>IF($B$3=1,"December","June")</f>
        <v>December</v>
      </c>
      <c r="B19" s="5"/>
      <c r="C19" s="6"/>
      <c r="D19" s="7"/>
      <c r="E19" s="5"/>
      <c r="F19" s="6"/>
      <c r="G19" s="7"/>
      <c r="H19" s="5"/>
      <c r="I19" s="6"/>
      <c r="J19" s="7"/>
      <c r="K19" s="5"/>
      <c r="L19" s="6"/>
      <c r="M19" s="7"/>
      <c r="N19" s="5"/>
      <c r="O19" s="6"/>
      <c r="P19" s="7"/>
    </row>
    <row r="20" spans="1:16" s="58" customFormat="1" ht="15" customHeight="1" x14ac:dyDescent="0.25">
      <c r="A20" s="65" t="s">
        <v>41</v>
      </c>
      <c r="B20" s="66">
        <f>SUM(B8:B19)</f>
        <v>0</v>
      </c>
      <c r="C20" s="66">
        <f t="shared" ref="C20:P20" si="0">SUM(C8:C19)</f>
        <v>0</v>
      </c>
      <c r="D20" s="66">
        <f t="shared" si="0"/>
        <v>0</v>
      </c>
      <c r="E20" s="77">
        <f t="shared" si="0"/>
        <v>0</v>
      </c>
      <c r="F20" s="77">
        <f t="shared" si="0"/>
        <v>0</v>
      </c>
      <c r="G20" s="77">
        <f t="shared" si="0"/>
        <v>2666</v>
      </c>
      <c r="H20" s="66">
        <f t="shared" si="0"/>
        <v>0</v>
      </c>
      <c r="I20" s="66">
        <f t="shared" si="0"/>
        <v>0</v>
      </c>
      <c r="J20" s="66">
        <f t="shared" si="0"/>
        <v>0</v>
      </c>
      <c r="K20" s="77">
        <f t="shared" si="0"/>
        <v>0</v>
      </c>
      <c r="L20" s="77">
        <f t="shared" si="0"/>
        <v>0</v>
      </c>
      <c r="M20" s="77">
        <f t="shared" si="0"/>
        <v>0</v>
      </c>
      <c r="N20" s="66">
        <f t="shared" si="0"/>
        <v>0</v>
      </c>
      <c r="O20" s="66">
        <f t="shared" si="0"/>
        <v>0</v>
      </c>
      <c r="P20" s="66">
        <f t="shared" si="0"/>
        <v>0</v>
      </c>
    </row>
    <row r="21" spans="1:16" ht="15" customHeight="1" x14ac:dyDescent="0.25"/>
    <row r="22" spans="1:16" ht="15" customHeight="1" x14ac:dyDescent="0.25">
      <c r="A22" s="81" t="s">
        <v>74</v>
      </c>
      <c r="B22" s="82"/>
    </row>
    <row r="23" spans="1:16" ht="15" customHeight="1" x14ac:dyDescent="0.25">
      <c r="A23" s="70" t="s">
        <v>31</v>
      </c>
      <c r="B23" s="128">
        <f>C20+F20+I20+L20+O20</f>
        <v>0</v>
      </c>
    </row>
    <row r="24" spans="1:16" ht="15" customHeight="1" x14ac:dyDescent="0.25">
      <c r="A24" s="70" t="s">
        <v>75</v>
      </c>
      <c r="B24" s="128">
        <f>B20+E20+H20+K20+N20</f>
        <v>0</v>
      </c>
    </row>
    <row r="25" spans="1:16" ht="15" customHeight="1" x14ac:dyDescent="0.25">
      <c r="A25" s="70" t="s">
        <v>76</v>
      </c>
      <c r="B25" s="128">
        <f>B23+B24</f>
        <v>0</v>
      </c>
    </row>
    <row r="26" spans="1:16" ht="15" customHeight="1" x14ac:dyDescent="0.25">
      <c r="A26" s="96" t="s">
        <v>27</v>
      </c>
      <c r="B26" s="129">
        <f>D20+G20+J20+M20+P20</f>
        <v>2666</v>
      </c>
    </row>
    <row r="27" spans="1:16" ht="15" customHeight="1" x14ac:dyDescent="0.25">
      <c r="A27" s="35"/>
    </row>
    <row r="28" spans="1:16" ht="15" customHeight="1" x14ac:dyDescent="0.25">
      <c r="A28" s="81" t="s">
        <v>77</v>
      </c>
      <c r="B28" s="82"/>
    </row>
    <row r="29" spans="1:16" ht="15" customHeight="1" x14ac:dyDescent="0.25">
      <c r="A29" s="70" t="s">
        <v>31</v>
      </c>
      <c r="B29" s="128">
        <f>G129</f>
        <v>0</v>
      </c>
    </row>
    <row r="30" spans="1:16" ht="15" customHeight="1" x14ac:dyDescent="0.25">
      <c r="A30" s="70" t="s">
        <v>75</v>
      </c>
      <c r="B30" s="128">
        <f>G114</f>
        <v>0</v>
      </c>
    </row>
    <row r="31" spans="1:16" ht="15" customHeight="1" x14ac:dyDescent="0.25">
      <c r="A31" s="70" t="s">
        <v>76</v>
      </c>
      <c r="B31" s="128">
        <f>B29+B30</f>
        <v>0</v>
      </c>
    </row>
    <row r="32" spans="1:16" ht="15" customHeight="1" x14ac:dyDescent="0.25">
      <c r="A32" s="96" t="s">
        <v>27</v>
      </c>
      <c r="B32" s="129">
        <f>G144</f>
        <v>1555.1666666666667</v>
      </c>
    </row>
    <row r="33" ht="15" customHeight="1" x14ac:dyDescent="0.25"/>
    <row r="34" ht="15" customHeight="1" x14ac:dyDescent="0.25"/>
    <row r="100" spans="1:7" x14ac:dyDescent="0.25">
      <c r="A100" s="83"/>
      <c r="B100" s="68" t="s">
        <v>43</v>
      </c>
      <c r="C100" s="84"/>
      <c r="D100" s="84"/>
      <c r="E100" s="84"/>
      <c r="F100" s="84"/>
      <c r="G100" s="85"/>
    </row>
    <row r="101" spans="1:7" x14ac:dyDescent="0.25">
      <c r="A101" s="86"/>
      <c r="B101" s="28" t="s">
        <v>44</v>
      </c>
      <c r="C101" s="87" t="s">
        <v>45</v>
      </c>
      <c r="D101" s="87" t="s">
        <v>46</v>
      </c>
      <c r="E101" s="87" t="s">
        <v>47</v>
      </c>
      <c r="F101" s="87" t="s">
        <v>48</v>
      </c>
      <c r="G101" s="88"/>
    </row>
    <row r="102" spans="1:7" x14ac:dyDescent="0.25">
      <c r="A102" s="70">
        <f>12/12</f>
        <v>1</v>
      </c>
      <c r="B102" s="28">
        <f>B8*$A102</f>
        <v>0</v>
      </c>
      <c r="C102" s="28">
        <f>E8*$A102</f>
        <v>0</v>
      </c>
      <c r="D102" s="28">
        <f>H8*$A102</f>
        <v>0</v>
      </c>
      <c r="E102" s="28">
        <f>K8*$A102</f>
        <v>0</v>
      </c>
      <c r="F102" s="28">
        <f>N8*$A102</f>
        <v>0</v>
      </c>
      <c r="G102" s="88"/>
    </row>
    <row r="103" spans="1:7" x14ac:dyDescent="0.25">
      <c r="A103" s="70">
        <f>11/12</f>
        <v>0.91666666666666663</v>
      </c>
      <c r="B103" s="28">
        <f t="shared" ref="B103:B113" si="1">B9*$A103</f>
        <v>0</v>
      </c>
      <c r="C103" s="28">
        <f t="shared" ref="C103:C113" si="2">E9*$A103</f>
        <v>0</v>
      </c>
      <c r="D103" s="28">
        <f t="shared" ref="D103:D113" si="3">H9*$A103</f>
        <v>0</v>
      </c>
      <c r="E103" s="28">
        <f t="shared" ref="E103:E113" si="4">K9*$A103</f>
        <v>0</v>
      </c>
      <c r="F103" s="28">
        <f t="shared" ref="F103:F113" si="5">N9*$A103</f>
        <v>0</v>
      </c>
      <c r="G103" s="88"/>
    </row>
    <row r="104" spans="1:7" x14ac:dyDescent="0.25">
      <c r="A104" s="70">
        <f>10/12</f>
        <v>0.83333333333333337</v>
      </c>
      <c r="B104" s="28">
        <f t="shared" si="1"/>
        <v>0</v>
      </c>
      <c r="C104" s="28">
        <f t="shared" si="2"/>
        <v>0</v>
      </c>
      <c r="D104" s="28">
        <f t="shared" si="3"/>
        <v>0</v>
      </c>
      <c r="E104" s="28">
        <f t="shared" si="4"/>
        <v>0</v>
      </c>
      <c r="F104" s="28">
        <f t="shared" si="5"/>
        <v>0</v>
      </c>
      <c r="G104" s="88"/>
    </row>
    <row r="105" spans="1:7" x14ac:dyDescent="0.25">
      <c r="A105" s="70">
        <f>9/12</f>
        <v>0.75</v>
      </c>
      <c r="B105" s="28">
        <f t="shared" si="1"/>
        <v>0</v>
      </c>
      <c r="C105" s="28">
        <f t="shared" si="2"/>
        <v>0</v>
      </c>
      <c r="D105" s="28">
        <f t="shared" si="3"/>
        <v>0</v>
      </c>
      <c r="E105" s="28">
        <f t="shared" si="4"/>
        <v>0</v>
      </c>
      <c r="F105" s="28">
        <f t="shared" si="5"/>
        <v>0</v>
      </c>
      <c r="G105" s="88"/>
    </row>
    <row r="106" spans="1:7" x14ac:dyDescent="0.25">
      <c r="A106" s="70">
        <f>8/12</f>
        <v>0.66666666666666663</v>
      </c>
      <c r="B106" s="28">
        <f t="shared" si="1"/>
        <v>0</v>
      </c>
      <c r="C106" s="28">
        <f t="shared" si="2"/>
        <v>0</v>
      </c>
      <c r="D106" s="28">
        <f t="shared" si="3"/>
        <v>0</v>
      </c>
      <c r="E106" s="28">
        <f t="shared" si="4"/>
        <v>0</v>
      </c>
      <c r="F106" s="28">
        <f t="shared" si="5"/>
        <v>0</v>
      </c>
      <c r="G106" s="88"/>
    </row>
    <row r="107" spans="1:7" x14ac:dyDescent="0.25">
      <c r="A107" s="70">
        <f>7/12</f>
        <v>0.58333333333333337</v>
      </c>
      <c r="B107" s="28">
        <f t="shared" si="1"/>
        <v>0</v>
      </c>
      <c r="C107" s="28">
        <f t="shared" si="2"/>
        <v>0</v>
      </c>
      <c r="D107" s="28">
        <f t="shared" si="3"/>
        <v>0</v>
      </c>
      <c r="E107" s="28">
        <f t="shared" si="4"/>
        <v>0</v>
      </c>
      <c r="F107" s="28">
        <f t="shared" si="5"/>
        <v>0</v>
      </c>
      <c r="G107" s="88"/>
    </row>
    <row r="108" spans="1:7" x14ac:dyDescent="0.25">
      <c r="A108" s="70">
        <f>6/12</f>
        <v>0.5</v>
      </c>
      <c r="B108" s="28">
        <f t="shared" si="1"/>
        <v>0</v>
      </c>
      <c r="C108" s="28">
        <f t="shared" si="2"/>
        <v>0</v>
      </c>
      <c r="D108" s="28">
        <f t="shared" si="3"/>
        <v>0</v>
      </c>
      <c r="E108" s="28">
        <f t="shared" si="4"/>
        <v>0</v>
      </c>
      <c r="F108" s="28">
        <f t="shared" si="5"/>
        <v>0</v>
      </c>
      <c r="G108" s="88"/>
    </row>
    <row r="109" spans="1:7" x14ac:dyDescent="0.25">
      <c r="A109" s="70">
        <f>5/12</f>
        <v>0.41666666666666669</v>
      </c>
      <c r="B109" s="28">
        <f t="shared" si="1"/>
        <v>0</v>
      </c>
      <c r="C109" s="28">
        <f t="shared" si="2"/>
        <v>0</v>
      </c>
      <c r="D109" s="28">
        <f t="shared" si="3"/>
        <v>0</v>
      </c>
      <c r="E109" s="28">
        <f t="shared" si="4"/>
        <v>0</v>
      </c>
      <c r="F109" s="28">
        <f t="shared" si="5"/>
        <v>0</v>
      </c>
      <c r="G109" s="88"/>
    </row>
    <row r="110" spans="1:7" x14ac:dyDescent="0.25">
      <c r="A110" s="70">
        <f>4/12</f>
        <v>0.33333333333333331</v>
      </c>
      <c r="B110" s="28">
        <f t="shared" si="1"/>
        <v>0</v>
      </c>
      <c r="C110" s="28">
        <f t="shared" si="2"/>
        <v>0</v>
      </c>
      <c r="D110" s="28">
        <f t="shared" si="3"/>
        <v>0</v>
      </c>
      <c r="E110" s="28">
        <f t="shared" si="4"/>
        <v>0</v>
      </c>
      <c r="F110" s="28">
        <f t="shared" si="5"/>
        <v>0</v>
      </c>
      <c r="G110" s="88"/>
    </row>
    <row r="111" spans="1:7" x14ac:dyDescent="0.25">
      <c r="A111" s="70">
        <f>3/12</f>
        <v>0.25</v>
      </c>
      <c r="B111" s="28">
        <f t="shared" si="1"/>
        <v>0</v>
      </c>
      <c r="C111" s="28">
        <f t="shared" si="2"/>
        <v>0</v>
      </c>
      <c r="D111" s="28">
        <f t="shared" si="3"/>
        <v>0</v>
      </c>
      <c r="E111" s="28">
        <f t="shared" si="4"/>
        <v>0</v>
      </c>
      <c r="F111" s="28">
        <f t="shared" si="5"/>
        <v>0</v>
      </c>
      <c r="G111" s="88"/>
    </row>
    <row r="112" spans="1:7" x14ac:dyDescent="0.25">
      <c r="A112" s="70">
        <f>2/12</f>
        <v>0.16666666666666666</v>
      </c>
      <c r="B112" s="28">
        <f t="shared" si="1"/>
        <v>0</v>
      </c>
      <c r="C112" s="28">
        <f t="shared" si="2"/>
        <v>0</v>
      </c>
      <c r="D112" s="28">
        <f t="shared" si="3"/>
        <v>0</v>
      </c>
      <c r="E112" s="28">
        <f t="shared" si="4"/>
        <v>0</v>
      </c>
      <c r="F112" s="28">
        <f t="shared" si="5"/>
        <v>0</v>
      </c>
      <c r="G112" s="88"/>
    </row>
    <row r="113" spans="1:7" x14ac:dyDescent="0.25">
      <c r="A113" s="70">
        <f>1/12</f>
        <v>8.3333333333333329E-2</v>
      </c>
      <c r="B113" s="28">
        <f t="shared" si="1"/>
        <v>0</v>
      </c>
      <c r="C113" s="28">
        <f t="shared" si="2"/>
        <v>0</v>
      </c>
      <c r="D113" s="28">
        <f t="shared" si="3"/>
        <v>0</v>
      </c>
      <c r="E113" s="28">
        <f t="shared" si="4"/>
        <v>0</v>
      </c>
      <c r="F113" s="28">
        <f t="shared" si="5"/>
        <v>0</v>
      </c>
      <c r="G113" s="88"/>
    </row>
    <row r="114" spans="1:7" x14ac:dyDescent="0.25">
      <c r="A114" s="72" t="s">
        <v>78</v>
      </c>
      <c r="B114" s="56">
        <f>SUM(B102:B113)</f>
        <v>0</v>
      </c>
      <c r="C114" s="89">
        <f t="shared" ref="C114:F114" si="6">SUM(C102:C113)</f>
        <v>0</v>
      </c>
      <c r="D114" s="89">
        <f t="shared" si="6"/>
        <v>0</v>
      </c>
      <c r="E114" s="89">
        <f t="shared" si="6"/>
        <v>0</v>
      </c>
      <c r="F114" s="89">
        <f t="shared" si="6"/>
        <v>0</v>
      </c>
      <c r="G114" s="90">
        <f>SUM(B114:F114)</f>
        <v>0</v>
      </c>
    </row>
    <row r="115" spans="1:7" x14ac:dyDescent="0.25">
      <c r="A115" s="83"/>
      <c r="B115" s="68" t="s">
        <v>49</v>
      </c>
      <c r="C115" s="84"/>
      <c r="D115" s="84"/>
      <c r="E115" s="84"/>
      <c r="F115" s="84"/>
      <c r="G115" s="85"/>
    </row>
    <row r="116" spans="1:7" x14ac:dyDescent="0.25">
      <c r="A116" s="86"/>
      <c r="B116" s="28" t="s">
        <v>44</v>
      </c>
      <c r="C116" s="87" t="s">
        <v>45</v>
      </c>
      <c r="D116" s="87" t="s">
        <v>46</v>
      </c>
      <c r="E116" s="87" t="s">
        <v>47</v>
      </c>
      <c r="F116" s="87" t="s">
        <v>48</v>
      </c>
      <c r="G116" s="88"/>
    </row>
    <row r="117" spans="1:7" x14ac:dyDescent="0.25">
      <c r="A117" s="70">
        <f>12/12</f>
        <v>1</v>
      </c>
      <c r="B117" s="28">
        <f t="shared" ref="B117:B128" si="7">C8*$A117</f>
        <v>0</v>
      </c>
      <c r="C117" s="87">
        <f t="shared" ref="C117:C128" si="8">F8*$A117</f>
        <v>0</v>
      </c>
      <c r="D117" s="87">
        <f t="shared" ref="D117:D128" si="9">I8*$A117</f>
        <v>0</v>
      </c>
      <c r="E117" s="87">
        <f t="shared" ref="E117:E128" si="10">L8*$A117</f>
        <v>0</v>
      </c>
      <c r="F117" s="87">
        <f t="shared" ref="F117:F128" si="11">O8*$A117</f>
        <v>0</v>
      </c>
      <c r="G117" s="88"/>
    </row>
    <row r="118" spans="1:7" x14ac:dyDescent="0.25">
      <c r="A118" s="70">
        <f>11/12</f>
        <v>0.91666666666666663</v>
      </c>
      <c r="B118" s="28">
        <f t="shared" si="7"/>
        <v>0</v>
      </c>
      <c r="C118" s="87">
        <f t="shared" si="8"/>
        <v>0</v>
      </c>
      <c r="D118" s="87">
        <f t="shared" si="9"/>
        <v>0</v>
      </c>
      <c r="E118" s="87">
        <f t="shared" si="10"/>
        <v>0</v>
      </c>
      <c r="F118" s="87">
        <f t="shared" si="11"/>
        <v>0</v>
      </c>
      <c r="G118" s="88"/>
    </row>
    <row r="119" spans="1:7" x14ac:dyDescent="0.25">
      <c r="A119" s="70">
        <f>10/12</f>
        <v>0.83333333333333337</v>
      </c>
      <c r="B119" s="28">
        <f t="shared" si="7"/>
        <v>0</v>
      </c>
      <c r="C119" s="87">
        <f t="shared" si="8"/>
        <v>0</v>
      </c>
      <c r="D119" s="87">
        <f t="shared" si="9"/>
        <v>0</v>
      </c>
      <c r="E119" s="87">
        <f t="shared" si="10"/>
        <v>0</v>
      </c>
      <c r="F119" s="87">
        <f t="shared" si="11"/>
        <v>0</v>
      </c>
      <c r="G119" s="88"/>
    </row>
    <row r="120" spans="1:7" x14ac:dyDescent="0.25">
      <c r="A120" s="70">
        <f>9/12</f>
        <v>0.75</v>
      </c>
      <c r="B120" s="28">
        <f t="shared" si="7"/>
        <v>0</v>
      </c>
      <c r="C120" s="87">
        <f t="shared" si="8"/>
        <v>0</v>
      </c>
      <c r="D120" s="87">
        <f t="shared" si="9"/>
        <v>0</v>
      </c>
      <c r="E120" s="87">
        <f t="shared" si="10"/>
        <v>0</v>
      </c>
      <c r="F120" s="87">
        <f t="shared" si="11"/>
        <v>0</v>
      </c>
      <c r="G120" s="88"/>
    </row>
    <row r="121" spans="1:7" x14ac:dyDescent="0.25">
      <c r="A121" s="70">
        <f>8/12</f>
        <v>0.66666666666666663</v>
      </c>
      <c r="B121" s="28">
        <f t="shared" si="7"/>
        <v>0</v>
      </c>
      <c r="C121" s="87">
        <f t="shared" si="8"/>
        <v>0</v>
      </c>
      <c r="D121" s="87">
        <f t="shared" si="9"/>
        <v>0</v>
      </c>
      <c r="E121" s="87">
        <f t="shared" si="10"/>
        <v>0</v>
      </c>
      <c r="F121" s="87">
        <f t="shared" si="11"/>
        <v>0</v>
      </c>
      <c r="G121" s="88"/>
    </row>
    <row r="122" spans="1:7" x14ac:dyDescent="0.25">
      <c r="A122" s="70">
        <f>7/12</f>
        <v>0.58333333333333337</v>
      </c>
      <c r="B122" s="28">
        <f t="shared" si="7"/>
        <v>0</v>
      </c>
      <c r="C122" s="87">
        <f t="shared" si="8"/>
        <v>0</v>
      </c>
      <c r="D122" s="87">
        <f t="shared" si="9"/>
        <v>0</v>
      </c>
      <c r="E122" s="87">
        <f t="shared" si="10"/>
        <v>0</v>
      </c>
      <c r="F122" s="87">
        <f t="shared" si="11"/>
        <v>0</v>
      </c>
      <c r="G122" s="88"/>
    </row>
    <row r="123" spans="1:7" x14ac:dyDescent="0.25">
      <c r="A123" s="70">
        <f>6/12</f>
        <v>0.5</v>
      </c>
      <c r="B123" s="28">
        <f t="shared" si="7"/>
        <v>0</v>
      </c>
      <c r="C123" s="87">
        <f t="shared" si="8"/>
        <v>0</v>
      </c>
      <c r="D123" s="87">
        <f t="shared" si="9"/>
        <v>0</v>
      </c>
      <c r="E123" s="87">
        <f t="shared" si="10"/>
        <v>0</v>
      </c>
      <c r="F123" s="87">
        <f t="shared" si="11"/>
        <v>0</v>
      </c>
      <c r="G123" s="88"/>
    </row>
    <row r="124" spans="1:7" x14ac:dyDescent="0.25">
      <c r="A124" s="70">
        <f>5/12</f>
        <v>0.41666666666666669</v>
      </c>
      <c r="B124" s="28">
        <f t="shared" si="7"/>
        <v>0</v>
      </c>
      <c r="C124" s="87">
        <f t="shared" si="8"/>
        <v>0</v>
      </c>
      <c r="D124" s="87">
        <f t="shared" si="9"/>
        <v>0</v>
      </c>
      <c r="E124" s="87">
        <f t="shared" si="10"/>
        <v>0</v>
      </c>
      <c r="F124" s="87">
        <f t="shared" si="11"/>
        <v>0</v>
      </c>
      <c r="G124" s="88"/>
    </row>
    <row r="125" spans="1:7" x14ac:dyDescent="0.25">
      <c r="A125" s="70">
        <f>4/12</f>
        <v>0.33333333333333331</v>
      </c>
      <c r="B125" s="28">
        <f t="shared" si="7"/>
        <v>0</v>
      </c>
      <c r="C125" s="87">
        <f t="shared" si="8"/>
        <v>0</v>
      </c>
      <c r="D125" s="87">
        <f t="shared" si="9"/>
        <v>0</v>
      </c>
      <c r="E125" s="87">
        <f t="shared" si="10"/>
        <v>0</v>
      </c>
      <c r="F125" s="87">
        <f t="shared" si="11"/>
        <v>0</v>
      </c>
      <c r="G125" s="88"/>
    </row>
    <row r="126" spans="1:7" x14ac:dyDescent="0.25">
      <c r="A126" s="70">
        <f>3/12</f>
        <v>0.25</v>
      </c>
      <c r="B126" s="28">
        <f t="shared" si="7"/>
        <v>0</v>
      </c>
      <c r="C126" s="87">
        <f t="shared" si="8"/>
        <v>0</v>
      </c>
      <c r="D126" s="87">
        <f t="shared" si="9"/>
        <v>0</v>
      </c>
      <c r="E126" s="87">
        <f t="shared" si="10"/>
        <v>0</v>
      </c>
      <c r="F126" s="87">
        <f t="shared" si="11"/>
        <v>0</v>
      </c>
      <c r="G126" s="88"/>
    </row>
    <row r="127" spans="1:7" x14ac:dyDescent="0.25">
      <c r="A127" s="70">
        <f>2/12</f>
        <v>0.16666666666666666</v>
      </c>
      <c r="B127" s="28">
        <f t="shared" si="7"/>
        <v>0</v>
      </c>
      <c r="C127" s="87">
        <f t="shared" si="8"/>
        <v>0</v>
      </c>
      <c r="D127" s="87">
        <f t="shared" si="9"/>
        <v>0</v>
      </c>
      <c r="E127" s="87">
        <f t="shared" si="10"/>
        <v>0</v>
      </c>
      <c r="F127" s="87">
        <f t="shared" si="11"/>
        <v>0</v>
      </c>
      <c r="G127" s="88"/>
    </row>
    <row r="128" spans="1:7" x14ac:dyDescent="0.25">
      <c r="A128" s="70">
        <f>1/12</f>
        <v>8.3333333333333329E-2</v>
      </c>
      <c r="B128" s="28">
        <f t="shared" si="7"/>
        <v>0</v>
      </c>
      <c r="C128" s="87">
        <f t="shared" si="8"/>
        <v>0</v>
      </c>
      <c r="D128" s="87">
        <f t="shared" si="9"/>
        <v>0</v>
      </c>
      <c r="E128" s="87">
        <f t="shared" si="10"/>
        <v>0</v>
      </c>
      <c r="F128" s="87">
        <f t="shared" si="11"/>
        <v>0</v>
      </c>
      <c r="G128" s="88"/>
    </row>
    <row r="129" spans="1:7" x14ac:dyDescent="0.25">
      <c r="A129" s="72" t="s">
        <v>78</v>
      </c>
      <c r="B129" s="56">
        <f>SUM(B117:B128)</f>
        <v>0</v>
      </c>
      <c r="C129" s="89">
        <f t="shared" ref="C129:F129" si="12">SUM(C117:C128)</f>
        <v>0</v>
      </c>
      <c r="D129" s="89">
        <f t="shared" si="12"/>
        <v>0</v>
      </c>
      <c r="E129" s="89">
        <f t="shared" si="12"/>
        <v>0</v>
      </c>
      <c r="F129" s="89">
        <f t="shared" si="12"/>
        <v>0</v>
      </c>
      <c r="G129" s="90">
        <f>SUM(B129:F129)</f>
        <v>0</v>
      </c>
    </row>
    <row r="130" spans="1:7" x14ac:dyDescent="0.25">
      <c r="A130" s="83"/>
      <c r="B130" s="68" t="s">
        <v>50</v>
      </c>
      <c r="C130" s="84"/>
      <c r="D130" s="84"/>
      <c r="E130" s="84"/>
      <c r="F130" s="84"/>
      <c r="G130" s="85"/>
    </row>
    <row r="131" spans="1:7" x14ac:dyDescent="0.25">
      <c r="A131" s="86"/>
      <c r="B131" s="28" t="s">
        <v>44</v>
      </c>
      <c r="C131" s="87" t="s">
        <v>45</v>
      </c>
      <c r="D131" s="87" t="s">
        <v>46</v>
      </c>
      <c r="E131" s="87" t="s">
        <v>47</v>
      </c>
      <c r="F131" s="87" t="s">
        <v>48</v>
      </c>
      <c r="G131" s="88"/>
    </row>
    <row r="132" spans="1:7" x14ac:dyDescent="0.25">
      <c r="A132" s="70">
        <f>12/12</f>
        <v>1</v>
      </c>
      <c r="B132" s="28">
        <f t="shared" ref="B132:B143" si="13">D8*$A132</f>
        <v>0</v>
      </c>
      <c r="C132" s="87">
        <f t="shared" ref="C132:C143" si="14">G8*$A132</f>
        <v>0</v>
      </c>
      <c r="D132" s="87">
        <f t="shared" ref="D132:D143" si="15">J8*$A132</f>
        <v>0</v>
      </c>
      <c r="E132" s="87">
        <f t="shared" ref="E132:E143" si="16">M8*$A132</f>
        <v>0</v>
      </c>
      <c r="F132" s="87">
        <f t="shared" ref="F132:F143" si="17">P8*$A132</f>
        <v>0</v>
      </c>
      <c r="G132" s="88"/>
    </row>
    <row r="133" spans="1:7" x14ac:dyDescent="0.25">
      <c r="A133" s="70">
        <f>11/12</f>
        <v>0.91666666666666663</v>
      </c>
      <c r="B133" s="28">
        <f t="shared" si="13"/>
        <v>0</v>
      </c>
      <c r="C133" s="87">
        <f t="shared" si="14"/>
        <v>0</v>
      </c>
      <c r="D133" s="87">
        <f t="shared" si="15"/>
        <v>0</v>
      </c>
      <c r="E133" s="87">
        <f t="shared" si="16"/>
        <v>0</v>
      </c>
      <c r="F133" s="87">
        <f t="shared" si="17"/>
        <v>0</v>
      </c>
      <c r="G133" s="88"/>
    </row>
    <row r="134" spans="1:7" x14ac:dyDescent="0.25">
      <c r="A134" s="70">
        <f>10/12</f>
        <v>0.83333333333333337</v>
      </c>
      <c r="B134" s="28">
        <f t="shared" si="13"/>
        <v>0</v>
      </c>
      <c r="C134" s="87">
        <f t="shared" si="14"/>
        <v>0</v>
      </c>
      <c r="D134" s="87">
        <f t="shared" si="15"/>
        <v>0</v>
      </c>
      <c r="E134" s="87">
        <f t="shared" si="16"/>
        <v>0</v>
      </c>
      <c r="F134" s="87">
        <f t="shared" si="17"/>
        <v>0</v>
      </c>
      <c r="G134" s="88"/>
    </row>
    <row r="135" spans="1:7" x14ac:dyDescent="0.25">
      <c r="A135" s="70">
        <f>9/12</f>
        <v>0.75</v>
      </c>
      <c r="B135" s="28">
        <f t="shared" si="13"/>
        <v>0</v>
      </c>
      <c r="C135" s="87">
        <f t="shared" si="14"/>
        <v>0</v>
      </c>
      <c r="D135" s="87">
        <f t="shared" si="15"/>
        <v>0</v>
      </c>
      <c r="E135" s="87">
        <f t="shared" si="16"/>
        <v>0</v>
      </c>
      <c r="F135" s="87">
        <f t="shared" si="17"/>
        <v>0</v>
      </c>
      <c r="G135" s="88"/>
    </row>
    <row r="136" spans="1:7" x14ac:dyDescent="0.25">
      <c r="A136" s="70">
        <f>8/12</f>
        <v>0.66666666666666663</v>
      </c>
      <c r="B136" s="28">
        <f t="shared" si="13"/>
        <v>0</v>
      </c>
      <c r="C136" s="87">
        <f t="shared" si="14"/>
        <v>0</v>
      </c>
      <c r="D136" s="87">
        <f t="shared" si="15"/>
        <v>0</v>
      </c>
      <c r="E136" s="87">
        <f t="shared" si="16"/>
        <v>0</v>
      </c>
      <c r="F136" s="87">
        <f t="shared" si="17"/>
        <v>0</v>
      </c>
      <c r="G136" s="88"/>
    </row>
    <row r="137" spans="1:7" x14ac:dyDescent="0.25">
      <c r="A137" s="70">
        <f>7/12</f>
        <v>0.58333333333333337</v>
      </c>
      <c r="B137" s="28">
        <f t="shared" si="13"/>
        <v>0</v>
      </c>
      <c r="C137" s="87">
        <f t="shared" si="14"/>
        <v>1555.1666666666667</v>
      </c>
      <c r="D137" s="87">
        <f t="shared" si="15"/>
        <v>0</v>
      </c>
      <c r="E137" s="87">
        <f t="shared" si="16"/>
        <v>0</v>
      </c>
      <c r="F137" s="87">
        <f t="shared" si="17"/>
        <v>0</v>
      </c>
      <c r="G137" s="88"/>
    </row>
    <row r="138" spans="1:7" x14ac:dyDescent="0.25">
      <c r="A138" s="70">
        <f>6/12</f>
        <v>0.5</v>
      </c>
      <c r="B138" s="28">
        <f t="shared" si="13"/>
        <v>0</v>
      </c>
      <c r="C138" s="87">
        <f t="shared" si="14"/>
        <v>0</v>
      </c>
      <c r="D138" s="87">
        <f t="shared" si="15"/>
        <v>0</v>
      </c>
      <c r="E138" s="87">
        <f t="shared" si="16"/>
        <v>0</v>
      </c>
      <c r="F138" s="87">
        <f t="shared" si="17"/>
        <v>0</v>
      </c>
      <c r="G138" s="88"/>
    </row>
    <row r="139" spans="1:7" x14ac:dyDescent="0.25">
      <c r="A139" s="70">
        <f>5/12</f>
        <v>0.41666666666666669</v>
      </c>
      <c r="B139" s="28">
        <f t="shared" si="13"/>
        <v>0</v>
      </c>
      <c r="C139" s="87">
        <f t="shared" si="14"/>
        <v>0</v>
      </c>
      <c r="D139" s="87">
        <f t="shared" si="15"/>
        <v>0</v>
      </c>
      <c r="E139" s="87">
        <f t="shared" si="16"/>
        <v>0</v>
      </c>
      <c r="F139" s="87">
        <f t="shared" si="17"/>
        <v>0</v>
      </c>
      <c r="G139" s="88"/>
    </row>
    <row r="140" spans="1:7" x14ac:dyDescent="0.25">
      <c r="A140" s="70">
        <f>4/12</f>
        <v>0.33333333333333331</v>
      </c>
      <c r="B140" s="28">
        <f t="shared" si="13"/>
        <v>0</v>
      </c>
      <c r="C140" s="87">
        <f t="shared" si="14"/>
        <v>0</v>
      </c>
      <c r="D140" s="87">
        <f t="shared" si="15"/>
        <v>0</v>
      </c>
      <c r="E140" s="87">
        <f t="shared" si="16"/>
        <v>0</v>
      </c>
      <c r="F140" s="87">
        <f t="shared" si="17"/>
        <v>0</v>
      </c>
      <c r="G140" s="88"/>
    </row>
    <row r="141" spans="1:7" x14ac:dyDescent="0.25">
      <c r="A141" s="70">
        <f>3/12</f>
        <v>0.25</v>
      </c>
      <c r="B141" s="28">
        <f t="shared" si="13"/>
        <v>0</v>
      </c>
      <c r="C141" s="87">
        <f t="shared" si="14"/>
        <v>0</v>
      </c>
      <c r="D141" s="87">
        <f t="shared" si="15"/>
        <v>0</v>
      </c>
      <c r="E141" s="87">
        <f t="shared" si="16"/>
        <v>0</v>
      </c>
      <c r="F141" s="87">
        <f t="shared" si="17"/>
        <v>0</v>
      </c>
      <c r="G141" s="88"/>
    </row>
    <row r="142" spans="1:7" x14ac:dyDescent="0.25">
      <c r="A142" s="70">
        <f>2/12</f>
        <v>0.16666666666666666</v>
      </c>
      <c r="B142" s="28">
        <f t="shared" si="13"/>
        <v>0</v>
      </c>
      <c r="C142" s="87">
        <f t="shared" si="14"/>
        <v>0</v>
      </c>
      <c r="D142" s="87">
        <f t="shared" si="15"/>
        <v>0</v>
      </c>
      <c r="E142" s="87">
        <f t="shared" si="16"/>
        <v>0</v>
      </c>
      <c r="F142" s="87">
        <f t="shared" si="17"/>
        <v>0</v>
      </c>
      <c r="G142" s="88"/>
    </row>
    <row r="143" spans="1:7" x14ac:dyDescent="0.25">
      <c r="A143" s="70">
        <f>1/12</f>
        <v>8.3333333333333329E-2</v>
      </c>
      <c r="B143" s="28">
        <f t="shared" si="13"/>
        <v>0</v>
      </c>
      <c r="C143" s="87">
        <f t="shared" si="14"/>
        <v>0</v>
      </c>
      <c r="D143" s="87">
        <f t="shared" si="15"/>
        <v>0</v>
      </c>
      <c r="E143" s="87">
        <f t="shared" si="16"/>
        <v>0</v>
      </c>
      <c r="F143" s="87">
        <f t="shared" si="17"/>
        <v>0</v>
      </c>
      <c r="G143" s="88"/>
    </row>
    <row r="144" spans="1:7" x14ac:dyDescent="0.25">
      <c r="A144" s="72" t="s">
        <v>78</v>
      </c>
      <c r="B144" s="56">
        <f>SUM(B132:B143)</f>
        <v>0</v>
      </c>
      <c r="C144" s="89">
        <f t="shared" ref="C144:F144" si="18">SUM(C132:C143)</f>
        <v>1555.1666666666667</v>
      </c>
      <c r="D144" s="89">
        <f t="shared" si="18"/>
        <v>0</v>
      </c>
      <c r="E144" s="89">
        <f t="shared" si="18"/>
        <v>0</v>
      </c>
      <c r="F144" s="89">
        <f t="shared" si="18"/>
        <v>0</v>
      </c>
      <c r="G144" s="90">
        <f>SUM(B144:F144)</f>
        <v>1555.1666666666667</v>
      </c>
    </row>
  </sheetData>
  <sheetProtection algorithmName="SHA-512" hashValue="15nlFS3sZ03tFFdLYqEbdFuZ1jk0S8NeZ60t8aka6TBIWn8HEiJ9rLyffYfCW2VveFTbMM7BepLOaSILHhf7QA==" saltValue="HyU0wf/rgud7x/zFeXi77A==" spinCount="100000" sheet="1" objects="1" scenarios="1"/>
  <mergeCells count="12">
    <mergeCell ref="B6:D6"/>
    <mergeCell ref="E6:G6"/>
    <mergeCell ref="H6:J6"/>
    <mergeCell ref="K6:M6"/>
    <mergeCell ref="N6:P6"/>
    <mergeCell ref="K5:M5"/>
    <mergeCell ref="N5:P5"/>
    <mergeCell ref="C1:E1"/>
    <mergeCell ref="B5:D5"/>
    <mergeCell ref="E5:G5"/>
    <mergeCell ref="H5:J5"/>
    <mergeCell ref="H1:J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158"/>
  <sheetViews>
    <sheetView topLeftCell="A7" zoomScale="90" zoomScaleNormal="90" workbookViewId="0">
      <selection activeCell="B78" sqref="B78"/>
    </sheetView>
  </sheetViews>
  <sheetFormatPr defaultRowHeight="14.25" x14ac:dyDescent="0.2"/>
  <cols>
    <col min="1" max="1" width="23.28515625" style="35" customWidth="1"/>
    <col min="2" max="16" width="13.28515625" style="35" customWidth="1"/>
    <col min="17" max="16384" width="9.140625" style="35"/>
  </cols>
  <sheetData>
    <row r="1" spans="1:16" ht="27" customHeight="1" x14ac:dyDescent="0.2">
      <c r="A1" s="49"/>
      <c r="B1" s="49"/>
      <c r="C1" s="91"/>
      <c r="D1" s="91"/>
      <c r="F1" s="51"/>
      <c r="G1" s="51"/>
      <c r="H1" s="185" t="s">
        <v>67</v>
      </c>
      <c r="I1" s="185"/>
      <c r="J1" s="185"/>
    </row>
    <row r="2" spans="1:16" ht="38.25" customHeight="1" x14ac:dyDescent="0.2">
      <c r="A2" s="49"/>
      <c r="B2" s="49"/>
      <c r="C2" s="91"/>
      <c r="D2" s="91"/>
      <c r="E2" s="92"/>
      <c r="F2" s="51"/>
      <c r="G2" s="51"/>
      <c r="H2" s="185"/>
      <c r="I2" s="185"/>
      <c r="J2" s="185"/>
    </row>
    <row r="3" spans="1:16" ht="27.75" customHeight="1" thickBot="1" x14ac:dyDescent="0.25">
      <c r="A3" s="49"/>
      <c r="B3" s="1">
        <v>1</v>
      </c>
      <c r="C3" s="91"/>
      <c r="D3" s="91"/>
      <c r="E3" s="92"/>
      <c r="F3" s="51"/>
      <c r="G3" s="51"/>
      <c r="H3" s="186"/>
      <c r="I3" s="186"/>
      <c r="J3" s="186"/>
      <c r="K3" s="119"/>
      <c r="L3" s="119"/>
      <c r="M3" s="119"/>
      <c r="N3" s="119"/>
      <c r="O3" s="119"/>
      <c r="P3" s="119"/>
    </row>
    <row r="4" spans="1:16" ht="42" customHeight="1" x14ac:dyDescent="0.2">
      <c r="A4" s="49"/>
      <c r="B4" s="49"/>
      <c r="C4" s="93"/>
      <c r="D4" s="205" t="str">
        <f>IF('Data Entry'!B6=1,"NOTE: You answered 1 to Q.2.a. on the Data Entry sheet.", "NOTE: You answered 2 to Q.b.a. on the Data Entry sheet.")</f>
        <v>NOTE: You answered 1 to Q.2.a. on the Data Entry sheet.</v>
      </c>
      <c r="E4" s="205"/>
      <c r="F4" s="205"/>
      <c r="G4" s="205"/>
      <c r="H4" s="206" t="str">
        <f>IF('Data Entry'!B6=1,"This means you need to enter separate counts for heifers &amp; steers.", "This means you need to enter a combined count in the labelled column.")</f>
        <v>This means you need to enter separate counts for heifers &amp; steers.</v>
      </c>
      <c r="I4" s="206"/>
      <c r="J4" s="206"/>
      <c r="K4" s="206"/>
      <c r="L4" s="206"/>
      <c r="M4" s="206"/>
      <c r="N4" s="206"/>
    </row>
    <row r="5" spans="1:16" s="57" customFormat="1" ht="15" customHeight="1" x14ac:dyDescent="0.25">
      <c r="A5" s="35"/>
      <c r="B5" s="179" t="s">
        <v>100</v>
      </c>
      <c r="C5" s="180"/>
      <c r="D5" s="181"/>
      <c r="E5" s="176" t="s">
        <v>101</v>
      </c>
      <c r="F5" s="177"/>
      <c r="G5" s="178"/>
      <c r="H5" s="179" t="s">
        <v>102</v>
      </c>
      <c r="I5" s="180"/>
      <c r="J5" s="181"/>
      <c r="K5" s="176" t="s">
        <v>103</v>
      </c>
      <c r="L5" s="177"/>
      <c r="M5" s="178"/>
      <c r="N5" s="179" t="s">
        <v>104</v>
      </c>
      <c r="O5" s="180"/>
      <c r="P5" s="181"/>
    </row>
    <row r="6" spans="1:16" s="57" customFormat="1" ht="15" customHeight="1" x14ac:dyDescent="0.25">
      <c r="A6" s="94"/>
      <c r="B6" s="194" t="s">
        <v>105</v>
      </c>
      <c r="C6" s="195"/>
      <c r="D6" s="196"/>
      <c r="E6" s="197" t="s">
        <v>105</v>
      </c>
      <c r="F6" s="198"/>
      <c r="G6" s="199"/>
      <c r="H6" s="200" t="s">
        <v>105</v>
      </c>
      <c r="I6" s="201"/>
      <c r="J6" s="202"/>
      <c r="K6" s="197" t="s">
        <v>105</v>
      </c>
      <c r="L6" s="198"/>
      <c r="M6" s="199"/>
      <c r="N6" s="200" t="s">
        <v>105</v>
      </c>
      <c r="O6" s="201"/>
      <c r="P6" s="202"/>
    </row>
    <row r="7" spans="1:16" ht="47.25" customHeight="1" x14ac:dyDescent="0.25">
      <c r="A7" s="65" t="s">
        <v>52</v>
      </c>
      <c r="B7" s="60" t="str">
        <f>IF('Data Entry'!$B$6=2,"","Branded heifers")</f>
        <v>Branded heifers</v>
      </c>
      <c r="C7" s="61" t="str">
        <f>IF('Data Entry'!$B$6=2,"","Branded steers")</f>
        <v>Branded steers</v>
      </c>
      <c r="D7" s="62" t="str">
        <f>IF('Data Entry'!$B$6=2,"Combined heifers + steers","Not applicable")</f>
        <v>Not applicable</v>
      </c>
      <c r="E7" s="131" t="str">
        <f>IF('Data Entry'!$B$6=2,"","Branded heifers")</f>
        <v>Branded heifers</v>
      </c>
      <c r="F7" s="75" t="str">
        <f>IF('Data Entry'!$B$6=2,"","Branded steers")</f>
        <v>Branded steers</v>
      </c>
      <c r="G7" s="132" t="str">
        <f>IF('Data Entry'!$B$6=2,"Combined heifers + steers","Not applicable")</f>
        <v>Not applicable</v>
      </c>
      <c r="H7" s="60" t="str">
        <f>IF('Data Entry'!$B$6=2,"","Branded heifers")</f>
        <v>Branded heifers</v>
      </c>
      <c r="I7" s="61" t="str">
        <f>IF('Data Entry'!$B$6=2,"","Branded steers")</f>
        <v>Branded steers</v>
      </c>
      <c r="J7" s="62" t="str">
        <f>IF('Data Entry'!$B$6=2,"Combined heifers + steers","Not applicable")</f>
        <v>Not applicable</v>
      </c>
      <c r="K7" s="131" t="str">
        <f>IF('Data Entry'!$B$6=2,"","Branded heifers")</f>
        <v>Branded heifers</v>
      </c>
      <c r="L7" s="75" t="str">
        <f>IF('Data Entry'!$B$6=2,"","Branded steers")</f>
        <v>Branded steers</v>
      </c>
      <c r="M7" s="132" t="str">
        <f>IF('Data Entry'!$B$6=2,"Combined heifers + steers","Not applicable")</f>
        <v>Not applicable</v>
      </c>
      <c r="N7" s="60" t="str">
        <f>IF('Data Entry'!$B$6=2,"","Branded heifers")</f>
        <v>Branded heifers</v>
      </c>
      <c r="O7" s="61" t="str">
        <f>IF('Data Entry'!$B$6=2,"","Branded steers")</f>
        <v>Branded steers</v>
      </c>
      <c r="P7" s="62" t="str">
        <f>IF('Data Entry'!$B$6=2,"Combined heifers + steers","Not applicable")</f>
        <v>Not applicable</v>
      </c>
    </row>
    <row r="8" spans="1:16" ht="15" customHeight="1" x14ac:dyDescent="0.2">
      <c r="A8" s="130" t="str">
        <f>IF($B$3=1,"January","July")</f>
        <v>January</v>
      </c>
      <c r="B8" s="148"/>
      <c r="C8" s="3"/>
      <c r="D8" s="4"/>
      <c r="E8" s="2"/>
      <c r="F8" s="3"/>
      <c r="G8" s="4"/>
      <c r="H8" s="2"/>
      <c r="I8" s="3"/>
      <c r="J8" s="4"/>
      <c r="K8" s="2"/>
      <c r="L8" s="3"/>
      <c r="M8" s="4"/>
      <c r="N8" s="2"/>
      <c r="O8" s="3"/>
      <c r="P8" s="4"/>
    </row>
    <row r="9" spans="1:16" ht="15" customHeight="1" x14ac:dyDescent="0.2">
      <c r="A9" s="130" t="str">
        <f>IF($B$3=1,"February","August")</f>
        <v>February</v>
      </c>
      <c r="B9" s="148"/>
      <c r="C9" s="3"/>
      <c r="D9" s="4"/>
      <c r="E9" s="2"/>
      <c r="F9" s="3"/>
      <c r="G9" s="4"/>
      <c r="H9" s="2"/>
      <c r="I9" s="3"/>
      <c r="J9" s="4"/>
      <c r="K9" s="2"/>
      <c r="L9" s="3"/>
      <c r="M9" s="4"/>
      <c r="N9" s="2"/>
      <c r="O9" s="3"/>
      <c r="P9" s="4"/>
    </row>
    <row r="10" spans="1:16" ht="15" customHeight="1" x14ac:dyDescent="0.2">
      <c r="A10" s="130" t="str">
        <f>IF($B$3=1,"March","September")</f>
        <v>March</v>
      </c>
      <c r="B10" s="148">
        <v>550</v>
      </c>
      <c r="C10" s="3">
        <v>550</v>
      </c>
      <c r="D10" s="4"/>
      <c r="E10" s="2">
        <v>500</v>
      </c>
      <c r="F10" s="3">
        <v>500</v>
      </c>
      <c r="G10" s="4"/>
      <c r="H10" s="2">
        <v>200</v>
      </c>
      <c r="I10" s="3">
        <v>300</v>
      </c>
      <c r="J10" s="4"/>
      <c r="K10" s="2">
        <v>400</v>
      </c>
      <c r="L10" s="3">
        <v>470</v>
      </c>
      <c r="M10" s="4"/>
      <c r="N10" s="2">
        <v>300</v>
      </c>
      <c r="O10" s="3">
        <v>350</v>
      </c>
      <c r="P10" s="4"/>
    </row>
    <row r="11" spans="1:16" ht="15" customHeight="1" x14ac:dyDescent="0.2">
      <c r="A11" s="130" t="str">
        <f>IF($B$3=1,"April","October")</f>
        <v>April</v>
      </c>
      <c r="B11" s="148">
        <v>800</v>
      </c>
      <c r="C11" s="148">
        <v>930</v>
      </c>
      <c r="D11" s="4"/>
      <c r="E11" s="2">
        <v>700</v>
      </c>
      <c r="F11" s="3">
        <v>800</v>
      </c>
      <c r="G11" s="4"/>
      <c r="H11" s="2">
        <v>800</v>
      </c>
      <c r="I11" s="3">
        <v>700</v>
      </c>
      <c r="J11" s="4"/>
      <c r="K11" s="2">
        <v>800</v>
      </c>
      <c r="L11" s="3">
        <v>600</v>
      </c>
      <c r="M11" s="4"/>
      <c r="N11" s="2">
        <v>900</v>
      </c>
      <c r="O11" s="3">
        <v>960</v>
      </c>
      <c r="P11" s="4"/>
    </row>
    <row r="12" spans="1:16" ht="15" customHeight="1" x14ac:dyDescent="0.2">
      <c r="A12" s="130" t="str">
        <f>IF($B$3=1,"May","November")</f>
        <v>May</v>
      </c>
      <c r="B12" s="148">
        <v>1000</v>
      </c>
      <c r="C12" s="148">
        <v>1300</v>
      </c>
      <c r="D12" s="4"/>
      <c r="E12" s="2">
        <v>1200</v>
      </c>
      <c r="F12" s="3">
        <v>900</v>
      </c>
      <c r="G12" s="4"/>
      <c r="H12" s="2">
        <v>920</v>
      </c>
      <c r="I12" s="3">
        <v>920</v>
      </c>
      <c r="J12" s="4"/>
      <c r="K12" s="2">
        <v>875</v>
      </c>
      <c r="L12" s="3">
        <v>875</v>
      </c>
      <c r="M12" s="4"/>
      <c r="N12" s="2">
        <v>120</v>
      </c>
      <c r="O12" s="3">
        <v>80</v>
      </c>
      <c r="P12" s="4"/>
    </row>
    <row r="13" spans="1:16" ht="15" customHeight="1" x14ac:dyDescent="0.2">
      <c r="A13" s="130" t="str">
        <f>IF($B$3=1,"June","December")</f>
        <v>June</v>
      </c>
      <c r="B13" s="148">
        <v>1400</v>
      </c>
      <c r="C13" s="148">
        <v>1000</v>
      </c>
      <c r="D13" s="4"/>
      <c r="E13" s="2">
        <v>1000</v>
      </c>
      <c r="F13" s="3">
        <v>1000</v>
      </c>
      <c r="G13" s="4"/>
      <c r="H13" s="2">
        <v>1000</v>
      </c>
      <c r="I13" s="3">
        <v>750</v>
      </c>
      <c r="J13" s="4"/>
      <c r="K13" s="2">
        <v>927</v>
      </c>
      <c r="L13" s="3">
        <v>927</v>
      </c>
      <c r="M13" s="4"/>
      <c r="N13" s="2">
        <v>1200</v>
      </c>
      <c r="O13" s="3">
        <v>1150</v>
      </c>
      <c r="P13" s="4"/>
    </row>
    <row r="14" spans="1:16" ht="15" customHeight="1" x14ac:dyDescent="0.2">
      <c r="A14" s="130" t="str">
        <f>IF($B$3=1,"July","January")</f>
        <v>July</v>
      </c>
      <c r="B14" s="148">
        <v>750</v>
      </c>
      <c r="C14" s="148">
        <v>750</v>
      </c>
      <c r="D14" s="4"/>
      <c r="E14" s="2">
        <v>800</v>
      </c>
      <c r="F14" s="3">
        <v>730</v>
      </c>
      <c r="G14" s="4"/>
      <c r="H14" s="2">
        <v>500</v>
      </c>
      <c r="I14" s="3">
        <v>800</v>
      </c>
      <c r="J14" s="4"/>
      <c r="K14" s="2">
        <v>600</v>
      </c>
      <c r="L14" s="3">
        <v>600</v>
      </c>
      <c r="M14" s="4"/>
      <c r="N14" s="2">
        <v>915</v>
      </c>
      <c r="O14" s="3">
        <v>915</v>
      </c>
      <c r="P14" s="4"/>
    </row>
    <row r="15" spans="1:16" ht="15" customHeight="1" x14ac:dyDescent="0.2">
      <c r="A15" s="130" t="str">
        <f>IF($B$3=1,"August","February")</f>
        <v>August</v>
      </c>
      <c r="B15" s="148">
        <v>550</v>
      </c>
      <c r="C15" s="148">
        <v>550</v>
      </c>
      <c r="D15" s="4"/>
      <c r="E15" s="2">
        <v>350</v>
      </c>
      <c r="F15" s="3">
        <v>450</v>
      </c>
      <c r="G15" s="4"/>
      <c r="H15" s="2">
        <v>450</v>
      </c>
      <c r="I15" s="3">
        <v>450</v>
      </c>
      <c r="J15" s="4"/>
      <c r="K15" s="2">
        <v>450</v>
      </c>
      <c r="L15" s="3">
        <v>450</v>
      </c>
      <c r="M15" s="4"/>
      <c r="N15" s="2">
        <v>725</v>
      </c>
      <c r="O15" s="3">
        <v>725</v>
      </c>
      <c r="P15" s="4"/>
    </row>
    <row r="16" spans="1:16" ht="15" customHeight="1" x14ac:dyDescent="0.2">
      <c r="A16" s="130" t="str">
        <f>IF($B$3=1,"September","March")</f>
        <v>September</v>
      </c>
      <c r="B16" s="148">
        <v>680</v>
      </c>
      <c r="C16" s="3">
        <v>717</v>
      </c>
      <c r="D16" s="4"/>
      <c r="E16" s="2">
        <v>250</v>
      </c>
      <c r="F16" s="3">
        <v>250</v>
      </c>
      <c r="G16" s="4"/>
      <c r="H16" s="2">
        <v>350</v>
      </c>
      <c r="I16" s="3">
        <v>450</v>
      </c>
      <c r="J16" s="4"/>
      <c r="K16" s="2">
        <v>325</v>
      </c>
      <c r="L16" s="3">
        <v>325</v>
      </c>
      <c r="M16" s="4"/>
      <c r="N16" s="2">
        <v>1100</v>
      </c>
      <c r="O16" s="3">
        <v>1250</v>
      </c>
      <c r="P16" s="4"/>
    </row>
    <row r="17" spans="1:23" ht="15" customHeight="1" x14ac:dyDescent="0.2">
      <c r="A17" s="130" t="str">
        <f>IF($B$3=1,"October","April")</f>
        <v>October</v>
      </c>
      <c r="B17" s="148"/>
      <c r="C17" s="3"/>
      <c r="D17" s="4"/>
      <c r="E17" s="2">
        <v>375</v>
      </c>
      <c r="F17" s="3">
        <v>378</v>
      </c>
      <c r="G17" s="4"/>
      <c r="H17" s="2">
        <v>280</v>
      </c>
      <c r="I17" s="3">
        <v>324</v>
      </c>
      <c r="J17" s="4"/>
      <c r="K17" s="2">
        <v>307</v>
      </c>
      <c r="L17" s="3">
        <v>307</v>
      </c>
      <c r="M17" s="4"/>
      <c r="N17" s="2">
        <v>850</v>
      </c>
      <c r="O17" s="3">
        <v>835</v>
      </c>
      <c r="P17" s="4"/>
    </row>
    <row r="18" spans="1:23" ht="15" customHeight="1" x14ac:dyDescent="0.2">
      <c r="A18" s="130" t="str">
        <f>IF($B$3=1,"November","May")</f>
        <v>November</v>
      </c>
      <c r="B18" s="148"/>
      <c r="C18" s="3"/>
      <c r="D18" s="4"/>
      <c r="E18" s="2"/>
      <c r="F18" s="3"/>
      <c r="G18" s="4"/>
      <c r="H18" s="2"/>
      <c r="I18" s="3"/>
      <c r="J18" s="4"/>
      <c r="K18" s="2"/>
      <c r="L18" s="3"/>
      <c r="M18" s="4"/>
      <c r="N18" s="2"/>
      <c r="O18" s="3"/>
      <c r="P18" s="4"/>
    </row>
    <row r="19" spans="1:23" ht="15" customHeight="1" x14ac:dyDescent="0.2">
      <c r="A19" s="130" t="str">
        <f>IF($B$3=1,"December","June")</f>
        <v>December</v>
      </c>
      <c r="B19" s="149"/>
      <c r="C19" s="6"/>
      <c r="D19" s="7"/>
      <c r="E19" s="5"/>
      <c r="F19" s="6"/>
      <c r="G19" s="7"/>
      <c r="H19" s="5"/>
      <c r="I19" s="6"/>
      <c r="J19" s="7"/>
      <c r="K19" s="5"/>
      <c r="L19" s="6"/>
      <c r="M19" s="7"/>
      <c r="N19" s="5"/>
      <c r="O19" s="6"/>
      <c r="P19" s="7"/>
    </row>
    <row r="20" spans="1:23" ht="15" customHeight="1" x14ac:dyDescent="0.25">
      <c r="A20" s="65" t="s">
        <v>79</v>
      </c>
      <c r="B20" s="133">
        <f>IF('Data Entry'!B6=2,"",SUM(B8:B19))</f>
        <v>5730</v>
      </c>
      <c r="C20" s="134">
        <f>IF('Data Entry'!B6=2,"",SUM(C8:C19))</f>
        <v>5797</v>
      </c>
      <c r="D20" s="135" t="str">
        <f>IF('Data Entry'!B6=2,SUM(D8:D19),"")</f>
        <v/>
      </c>
      <c r="E20" s="136">
        <f>IF('Data Entry'!B6=2,"",SUM(E8:E19))</f>
        <v>5175</v>
      </c>
      <c r="F20" s="137">
        <f>IF('Data Entry'!B6=2,"",SUM(F8:F19))</f>
        <v>5008</v>
      </c>
      <c r="G20" s="138" t="str">
        <f>IF('Data Entry'!B6=2,SUM(G8:G19),"")</f>
        <v/>
      </c>
      <c r="H20" s="133">
        <f>IF('Data Entry'!B6=2,"",SUM(H8:H19))</f>
        <v>4500</v>
      </c>
      <c r="I20" s="134">
        <f>IF('Data Entry'!B6=2,"",SUM(I8:I19))</f>
        <v>4694</v>
      </c>
      <c r="J20" s="135" t="str">
        <f>IF('Data Entry'!B6=2,SUM(J8:J19),"")</f>
        <v/>
      </c>
      <c r="K20" s="136">
        <f>IF('Data Entry'!B6=2,"",SUM(K8:K19))</f>
        <v>4684</v>
      </c>
      <c r="L20" s="137">
        <f>IF('Data Entry'!B6=2,"",SUM(L8:L19))</f>
        <v>4554</v>
      </c>
      <c r="M20" s="138" t="str">
        <f>IF('Data Entry'!B6=2,SUM(M8:M19),"")</f>
        <v/>
      </c>
      <c r="N20" s="133">
        <f>IF('Data Entry'!B6=2,"",SUM(N8:N19))</f>
        <v>6110</v>
      </c>
      <c r="O20" s="134">
        <f>IF('Data Entry'!B6=2,"",SUM(O8:O19))</f>
        <v>6265</v>
      </c>
      <c r="P20" s="135" t="str">
        <f>IF('Data Entry'!B6=2,SUM(P8:P19),"")</f>
        <v/>
      </c>
    </row>
    <row r="21" spans="1:23" ht="15" customHeight="1" x14ac:dyDescent="0.25">
      <c r="I21" s="139"/>
      <c r="J21" s="139"/>
      <c r="K21" s="139"/>
      <c r="L21" s="139"/>
      <c r="M21" s="139"/>
      <c r="N21" s="42"/>
      <c r="O21" s="42"/>
      <c r="P21" s="42"/>
      <c r="Q21" s="42"/>
      <c r="R21" s="42"/>
      <c r="S21" s="42"/>
      <c r="T21" s="42"/>
      <c r="U21" s="42"/>
      <c r="V21" s="42"/>
      <c r="W21" s="42"/>
    </row>
    <row r="22" spans="1:23" ht="15" customHeight="1" x14ac:dyDescent="0.25">
      <c r="A22" s="203" t="s">
        <v>81</v>
      </c>
      <c r="B22" s="98" t="s">
        <v>100</v>
      </c>
      <c r="C22" s="98" t="s">
        <v>101</v>
      </c>
      <c r="D22" s="98" t="s">
        <v>102</v>
      </c>
      <c r="E22" s="98" t="s">
        <v>103</v>
      </c>
      <c r="F22" s="145" t="s">
        <v>104</v>
      </c>
      <c r="G22" s="140" t="s">
        <v>92</v>
      </c>
    </row>
    <row r="23" spans="1:23" ht="15" customHeight="1" x14ac:dyDescent="0.25">
      <c r="A23" s="204"/>
      <c r="B23" s="146">
        <f>IF('Data Entry'!B6=2,D20,B20+C20)</f>
        <v>11527</v>
      </c>
      <c r="C23" s="146">
        <f>IF('Data Entry'!B6=2,G20,E20+F20)</f>
        <v>10183</v>
      </c>
      <c r="D23" s="146">
        <f>IF('Data Entry'!B6=2,J20,H20+I20)</f>
        <v>9194</v>
      </c>
      <c r="E23" s="146">
        <f>IF('Data Entry'!B6=2,M20,K20+L20)</f>
        <v>9238</v>
      </c>
      <c r="F23" s="147">
        <f>IF('Data Entry'!B6=2,P20,N20+O20)</f>
        <v>12375</v>
      </c>
      <c r="G23" s="141">
        <f>SUM(B23:F23)</f>
        <v>52517</v>
      </c>
    </row>
    <row r="24" spans="1:23" ht="15" customHeight="1" x14ac:dyDescent="0.25">
      <c r="B24" s="42"/>
      <c r="C24" s="42"/>
      <c r="D24" s="42"/>
      <c r="E24" s="42"/>
      <c r="F24" s="42"/>
    </row>
    <row r="25" spans="1:23" ht="15" customHeight="1" x14ac:dyDescent="0.25">
      <c r="A25" s="81" t="s">
        <v>91</v>
      </c>
      <c r="B25" s="68"/>
      <c r="C25" s="68"/>
      <c r="D25" s="140"/>
    </row>
    <row r="26" spans="1:23" ht="15" customHeight="1" x14ac:dyDescent="0.25">
      <c r="A26" s="70" t="s">
        <v>84</v>
      </c>
      <c r="B26" s="94"/>
      <c r="C26" s="94"/>
      <c r="D26" s="122">
        <f>IF('Data Entry'!B6=2,('Data Entry'!B7)*G23,B20+E20+H20+K20+N20)</f>
        <v>26199</v>
      </c>
    </row>
    <row r="27" spans="1:23" ht="15" customHeight="1" x14ac:dyDescent="0.25">
      <c r="A27" s="96" t="s">
        <v>90</v>
      </c>
      <c r="B27" s="95"/>
      <c r="C27" s="95"/>
      <c r="D27" s="123">
        <f>IF('Data Entry'!B6=2,((1-'Data Entry'!B7)*G23),C20+F20+I20+L20+O20)</f>
        <v>26318</v>
      </c>
    </row>
    <row r="28" spans="1:23" ht="15" customHeight="1" x14ac:dyDescent="0.2"/>
    <row r="29" spans="1:23" ht="15" customHeight="1" x14ac:dyDescent="0.25">
      <c r="A29" s="81" t="s">
        <v>80</v>
      </c>
      <c r="B29" s="142"/>
      <c r="C29" s="82"/>
    </row>
    <row r="30" spans="1:23" ht="15" customHeight="1" x14ac:dyDescent="0.25">
      <c r="A30" s="70" t="s">
        <v>84</v>
      </c>
      <c r="B30" s="143"/>
      <c r="C30" s="122">
        <f>IF('Data Entry'!B6=2,('Data Entry'!B7)*$G$158,G128)</f>
        <v>14781.666666666668</v>
      </c>
    </row>
    <row r="31" spans="1:23" ht="15" customHeight="1" x14ac:dyDescent="0.25">
      <c r="A31" s="96" t="s">
        <v>90</v>
      </c>
      <c r="B31" s="144"/>
      <c r="C31" s="123">
        <f>IF('Data Entry'!B6=2,(1-'Data Entry'!B7)*$G$158,G143)</f>
        <v>14782.833333333336</v>
      </c>
    </row>
    <row r="32" spans="1:23" ht="15" customHeight="1" x14ac:dyDescent="0.2"/>
    <row r="33" spans="1:2" ht="15" customHeight="1" x14ac:dyDescent="0.2"/>
    <row r="34" spans="1:2" x14ac:dyDescent="0.2">
      <c r="A34" s="156" t="s">
        <v>97</v>
      </c>
      <c r="B34" s="156"/>
    </row>
    <row r="114" spans="1:7" x14ac:dyDescent="0.2">
      <c r="A114" s="67"/>
      <c r="B114" s="68" t="s">
        <v>82</v>
      </c>
      <c r="C114" s="68"/>
      <c r="D114" s="68"/>
      <c r="E114" s="68"/>
      <c r="F114" s="68"/>
      <c r="G114" s="69"/>
    </row>
    <row r="115" spans="1:7" x14ac:dyDescent="0.2">
      <c r="A115" s="70"/>
      <c r="B115" s="28" t="s">
        <v>44</v>
      </c>
      <c r="C115" s="28" t="s">
        <v>45</v>
      </c>
      <c r="D115" s="28" t="s">
        <v>46</v>
      </c>
      <c r="E115" s="28" t="s">
        <v>47</v>
      </c>
      <c r="F115" s="28" t="s">
        <v>48</v>
      </c>
      <c r="G115" s="71"/>
    </row>
    <row r="116" spans="1:7" x14ac:dyDescent="0.2">
      <c r="A116" s="70">
        <f>12/12</f>
        <v>1</v>
      </c>
      <c r="B116" s="28">
        <f t="shared" ref="B116:B127" si="0">B8*$A116</f>
        <v>0</v>
      </c>
      <c r="C116" s="28">
        <f t="shared" ref="C116:C127" si="1">E8*$A116</f>
        <v>0</v>
      </c>
      <c r="D116" s="28">
        <f t="shared" ref="D116:D127" si="2">H8*$A116</f>
        <v>0</v>
      </c>
      <c r="E116" s="28">
        <f t="shared" ref="E116:E127" si="3">K8*$A116</f>
        <v>0</v>
      </c>
      <c r="F116" s="28">
        <f t="shared" ref="F116:F127" si="4">N8*$A116</f>
        <v>0</v>
      </c>
      <c r="G116" s="71"/>
    </row>
    <row r="117" spans="1:7" x14ac:dyDescent="0.2">
      <c r="A117" s="70">
        <f>11/12</f>
        <v>0.91666666666666663</v>
      </c>
      <c r="B117" s="28">
        <f t="shared" si="0"/>
        <v>0</v>
      </c>
      <c r="C117" s="28">
        <f t="shared" si="1"/>
        <v>0</v>
      </c>
      <c r="D117" s="28">
        <f t="shared" si="2"/>
        <v>0</v>
      </c>
      <c r="E117" s="28">
        <f t="shared" si="3"/>
        <v>0</v>
      </c>
      <c r="F117" s="28">
        <f t="shared" si="4"/>
        <v>0</v>
      </c>
      <c r="G117" s="71"/>
    </row>
    <row r="118" spans="1:7" x14ac:dyDescent="0.2">
      <c r="A118" s="70">
        <f>10/12</f>
        <v>0.83333333333333337</v>
      </c>
      <c r="B118" s="28">
        <f t="shared" si="0"/>
        <v>458.33333333333337</v>
      </c>
      <c r="C118" s="28">
        <f t="shared" si="1"/>
        <v>416.66666666666669</v>
      </c>
      <c r="D118" s="28">
        <f t="shared" si="2"/>
        <v>166.66666666666669</v>
      </c>
      <c r="E118" s="28">
        <f t="shared" si="3"/>
        <v>333.33333333333337</v>
      </c>
      <c r="F118" s="28">
        <f t="shared" si="4"/>
        <v>250</v>
      </c>
      <c r="G118" s="71"/>
    </row>
    <row r="119" spans="1:7" x14ac:dyDescent="0.2">
      <c r="A119" s="70">
        <f>9/12</f>
        <v>0.75</v>
      </c>
      <c r="B119" s="28">
        <f t="shared" si="0"/>
        <v>600</v>
      </c>
      <c r="C119" s="28">
        <f t="shared" si="1"/>
        <v>525</v>
      </c>
      <c r="D119" s="28">
        <f t="shared" si="2"/>
        <v>600</v>
      </c>
      <c r="E119" s="28">
        <f t="shared" si="3"/>
        <v>600</v>
      </c>
      <c r="F119" s="28">
        <f t="shared" si="4"/>
        <v>675</v>
      </c>
      <c r="G119" s="71"/>
    </row>
    <row r="120" spans="1:7" x14ac:dyDescent="0.2">
      <c r="A120" s="70">
        <f>8/12</f>
        <v>0.66666666666666663</v>
      </c>
      <c r="B120" s="28">
        <f t="shared" si="0"/>
        <v>666.66666666666663</v>
      </c>
      <c r="C120" s="28">
        <f t="shared" si="1"/>
        <v>800</v>
      </c>
      <c r="D120" s="28">
        <f t="shared" si="2"/>
        <v>613.33333333333326</v>
      </c>
      <c r="E120" s="28">
        <f t="shared" si="3"/>
        <v>583.33333333333326</v>
      </c>
      <c r="F120" s="28">
        <f t="shared" si="4"/>
        <v>80</v>
      </c>
      <c r="G120" s="71"/>
    </row>
    <row r="121" spans="1:7" x14ac:dyDescent="0.2">
      <c r="A121" s="70">
        <f>7/12</f>
        <v>0.58333333333333337</v>
      </c>
      <c r="B121" s="28">
        <f t="shared" si="0"/>
        <v>816.66666666666674</v>
      </c>
      <c r="C121" s="28">
        <f t="shared" si="1"/>
        <v>583.33333333333337</v>
      </c>
      <c r="D121" s="28">
        <f t="shared" si="2"/>
        <v>583.33333333333337</v>
      </c>
      <c r="E121" s="28">
        <f t="shared" si="3"/>
        <v>540.75</v>
      </c>
      <c r="F121" s="28">
        <f t="shared" si="4"/>
        <v>700</v>
      </c>
      <c r="G121" s="71"/>
    </row>
    <row r="122" spans="1:7" x14ac:dyDescent="0.2">
      <c r="A122" s="70">
        <f>6/12</f>
        <v>0.5</v>
      </c>
      <c r="B122" s="28">
        <f t="shared" si="0"/>
        <v>375</v>
      </c>
      <c r="C122" s="28">
        <f t="shared" si="1"/>
        <v>400</v>
      </c>
      <c r="D122" s="28">
        <f t="shared" si="2"/>
        <v>250</v>
      </c>
      <c r="E122" s="28">
        <f t="shared" si="3"/>
        <v>300</v>
      </c>
      <c r="F122" s="28">
        <f t="shared" si="4"/>
        <v>457.5</v>
      </c>
      <c r="G122" s="71"/>
    </row>
    <row r="123" spans="1:7" x14ac:dyDescent="0.2">
      <c r="A123" s="70">
        <f>5/12</f>
        <v>0.41666666666666669</v>
      </c>
      <c r="B123" s="28">
        <f t="shared" si="0"/>
        <v>229.16666666666669</v>
      </c>
      <c r="C123" s="28">
        <f t="shared" si="1"/>
        <v>145.83333333333334</v>
      </c>
      <c r="D123" s="28">
        <f t="shared" si="2"/>
        <v>187.5</v>
      </c>
      <c r="E123" s="28">
        <f t="shared" si="3"/>
        <v>187.5</v>
      </c>
      <c r="F123" s="28">
        <f t="shared" si="4"/>
        <v>302.08333333333337</v>
      </c>
      <c r="G123" s="71"/>
    </row>
    <row r="124" spans="1:7" x14ac:dyDescent="0.2">
      <c r="A124" s="70">
        <f>4/12</f>
        <v>0.33333333333333331</v>
      </c>
      <c r="B124" s="28">
        <f t="shared" si="0"/>
        <v>226.66666666666666</v>
      </c>
      <c r="C124" s="28">
        <f t="shared" si="1"/>
        <v>83.333333333333329</v>
      </c>
      <c r="D124" s="28">
        <f t="shared" si="2"/>
        <v>116.66666666666666</v>
      </c>
      <c r="E124" s="28">
        <f t="shared" si="3"/>
        <v>108.33333333333333</v>
      </c>
      <c r="F124" s="28">
        <f t="shared" si="4"/>
        <v>366.66666666666663</v>
      </c>
      <c r="G124" s="71"/>
    </row>
    <row r="125" spans="1:7" x14ac:dyDescent="0.2">
      <c r="A125" s="70">
        <f>3/12</f>
        <v>0.25</v>
      </c>
      <c r="B125" s="28">
        <f t="shared" si="0"/>
        <v>0</v>
      </c>
      <c r="C125" s="28">
        <f t="shared" si="1"/>
        <v>93.75</v>
      </c>
      <c r="D125" s="28">
        <f t="shared" si="2"/>
        <v>70</v>
      </c>
      <c r="E125" s="28">
        <f t="shared" si="3"/>
        <v>76.75</v>
      </c>
      <c r="F125" s="28">
        <f t="shared" si="4"/>
        <v>212.5</v>
      </c>
      <c r="G125" s="71"/>
    </row>
    <row r="126" spans="1:7" x14ac:dyDescent="0.2">
      <c r="A126" s="70">
        <f>2/12</f>
        <v>0.16666666666666666</v>
      </c>
      <c r="B126" s="28">
        <f t="shared" si="0"/>
        <v>0</v>
      </c>
      <c r="C126" s="28">
        <f t="shared" si="1"/>
        <v>0</v>
      </c>
      <c r="D126" s="28">
        <f t="shared" si="2"/>
        <v>0</v>
      </c>
      <c r="E126" s="28">
        <f t="shared" si="3"/>
        <v>0</v>
      </c>
      <c r="F126" s="28">
        <f t="shared" si="4"/>
        <v>0</v>
      </c>
      <c r="G126" s="71"/>
    </row>
    <row r="127" spans="1:7" x14ac:dyDescent="0.2">
      <c r="A127" s="70">
        <f>1/12</f>
        <v>8.3333333333333329E-2</v>
      </c>
      <c r="B127" s="28">
        <f t="shared" si="0"/>
        <v>0</v>
      </c>
      <c r="C127" s="28">
        <f t="shared" si="1"/>
        <v>0</v>
      </c>
      <c r="D127" s="28">
        <f t="shared" si="2"/>
        <v>0</v>
      </c>
      <c r="E127" s="28">
        <f t="shared" si="3"/>
        <v>0</v>
      </c>
      <c r="F127" s="28">
        <f t="shared" si="4"/>
        <v>0</v>
      </c>
      <c r="G127" s="71"/>
    </row>
    <row r="128" spans="1:7" x14ac:dyDescent="0.2">
      <c r="A128" s="96" t="s">
        <v>78</v>
      </c>
      <c r="B128" s="56">
        <f>SUM(B116:B127)</f>
        <v>3372.5</v>
      </c>
      <c r="C128" s="56">
        <f t="shared" ref="C128:F128" si="5">SUM(C116:C127)</f>
        <v>3047.916666666667</v>
      </c>
      <c r="D128" s="56">
        <f t="shared" si="5"/>
        <v>2587.5</v>
      </c>
      <c r="E128" s="56">
        <f t="shared" si="5"/>
        <v>2730</v>
      </c>
      <c r="F128" s="56">
        <f t="shared" si="5"/>
        <v>3043.75</v>
      </c>
      <c r="G128" s="97">
        <f>SUM(B128:F128)</f>
        <v>14781.666666666668</v>
      </c>
    </row>
    <row r="129" spans="1:7" x14ac:dyDescent="0.2">
      <c r="A129" s="67"/>
      <c r="B129" s="98" t="s">
        <v>50</v>
      </c>
      <c r="C129" s="98"/>
      <c r="D129" s="98"/>
      <c r="E129" s="98"/>
      <c r="F129" s="98"/>
      <c r="G129" s="69"/>
    </row>
    <row r="130" spans="1:7" x14ac:dyDescent="0.2">
      <c r="A130" s="70"/>
      <c r="B130" s="28" t="s">
        <v>44</v>
      </c>
      <c r="C130" s="28" t="s">
        <v>45</v>
      </c>
      <c r="D130" s="28" t="s">
        <v>46</v>
      </c>
      <c r="E130" s="28" t="s">
        <v>47</v>
      </c>
      <c r="F130" s="28" t="s">
        <v>48</v>
      </c>
      <c r="G130" s="71"/>
    </row>
    <row r="131" spans="1:7" x14ac:dyDescent="0.2">
      <c r="A131" s="70">
        <f>12/12</f>
        <v>1</v>
      </c>
      <c r="B131" s="28">
        <f t="shared" ref="B131:B142" si="6">C8*$A131</f>
        <v>0</v>
      </c>
      <c r="C131" s="28">
        <f t="shared" ref="C131:C142" si="7">F8*$A131</f>
        <v>0</v>
      </c>
      <c r="D131" s="28">
        <f t="shared" ref="D131:D142" si="8">I8*$A131</f>
        <v>0</v>
      </c>
      <c r="E131" s="28">
        <f t="shared" ref="E131:E142" si="9">L8*$A131</f>
        <v>0</v>
      </c>
      <c r="F131" s="28">
        <f t="shared" ref="F131:F142" si="10">O8*$A131</f>
        <v>0</v>
      </c>
      <c r="G131" s="71"/>
    </row>
    <row r="132" spans="1:7" x14ac:dyDescent="0.2">
      <c r="A132" s="70">
        <f>11/12</f>
        <v>0.91666666666666663</v>
      </c>
      <c r="B132" s="28">
        <f t="shared" si="6"/>
        <v>0</v>
      </c>
      <c r="C132" s="28">
        <f t="shared" si="7"/>
        <v>0</v>
      </c>
      <c r="D132" s="28">
        <f t="shared" si="8"/>
        <v>0</v>
      </c>
      <c r="E132" s="28">
        <f t="shared" si="9"/>
        <v>0</v>
      </c>
      <c r="F132" s="28">
        <f t="shared" si="10"/>
        <v>0</v>
      </c>
      <c r="G132" s="71"/>
    </row>
    <row r="133" spans="1:7" x14ac:dyDescent="0.2">
      <c r="A133" s="70">
        <f>10/12</f>
        <v>0.83333333333333337</v>
      </c>
      <c r="B133" s="28">
        <f t="shared" si="6"/>
        <v>458.33333333333337</v>
      </c>
      <c r="C133" s="28">
        <f t="shared" si="7"/>
        <v>416.66666666666669</v>
      </c>
      <c r="D133" s="28">
        <f t="shared" si="8"/>
        <v>250</v>
      </c>
      <c r="E133" s="28">
        <f t="shared" si="9"/>
        <v>391.66666666666669</v>
      </c>
      <c r="F133" s="28">
        <f t="shared" si="10"/>
        <v>291.66666666666669</v>
      </c>
      <c r="G133" s="71"/>
    </row>
    <row r="134" spans="1:7" x14ac:dyDescent="0.2">
      <c r="A134" s="70">
        <f>9/12</f>
        <v>0.75</v>
      </c>
      <c r="B134" s="28">
        <f t="shared" si="6"/>
        <v>697.5</v>
      </c>
      <c r="C134" s="28">
        <f t="shared" si="7"/>
        <v>600</v>
      </c>
      <c r="D134" s="28">
        <f t="shared" si="8"/>
        <v>525</v>
      </c>
      <c r="E134" s="28">
        <f t="shared" si="9"/>
        <v>450</v>
      </c>
      <c r="F134" s="28">
        <f t="shared" si="10"/>
        <v>720</v>
      </c>
      <c r="G134" s="71"/>
    </row>
    <row r="135" spans="1:7" x14ac:dyDescent="0.2">
      <c r="A135" s="70">
        <f>8/12</f>
        <v>0.66666666666666663</v>
      </c>
      <c r="B135" s="28">
        <f t="shared" si="6"/>
        <v>866.66666666666663</v>
      </c>
      <c r="C135" s="28">
        <f t="shared" si="7"/>
        <v>600</v>
      </c>
      <c r="D135" s="28">
        <f t="shared" si="8"/>
        <v>613.33333333333326</v>
      </c>
      <c r="E135" s="28">
        <f t="shared" si="9"/>
        <v>583.33333333333326</v>
      </c>
      <c r="F135" s="28">
        <f t="shared" si="10"/>
        <v>53.333333333333329</v>
      </c>
      <c r="G135" s="71"/>
    </row>
    <row r="136" spans="1:7" x14ac:dyDescent="0.2">
      <c r="A136" s="70">
        <f>7/12</f>
        <v>0.58333333333333337</v>
      </c>
      <c r="B136" s="28">
        <f t="shared" si="6"/>
        <v>583.33333333333337</v>
      </c>
      <c r="C136" s="28">
        <f t="shared" si="7"/>
        <v>583.33333333333337</v>
      </c>
      <c r="D136" s="28">
        <f t="shared" si="8"/>
        <v>437.5</v>
      </c>
      <c r="E136" s="28">
        <f t="shared" si="9"/>
        <v>540.75</v>
      </c>
      <c r="F136" s="28">
        <f t="shared" si="10"/>
        <v>670.83333333333337</v>
      </c>
      <c r="G136" s="71"/>
    </row>
    <row r="137" spans="1:7" x14ac:dyDescent="0.2">
      <c r="A137" s="70">
        <f>6/12</f>
        <v>0.5</v>
      </c>
      <c r="B137" s="28">
        <f t="shared" si="6"/>
        <v>375</v>
      </c>
      <c r="C137" s="28">
        <f t="shared" si="7"/>
        <v>365</v>
      </c>
      <c r="D137" s="28">
        <f t="shared" si="8"/>
        <v>400</v>
      </c>
      <c r="E137" s="28">
        <f t="shared" si="9"/>
        <v>300</v>
      </c>
      <c r="F137" s="28">
        <f t="shared" si="10"/>
        <v>457.5</v>
      </c>
      <c r="G137" s="71"/>
    </row>
    <row r="138" spans="1:7" x14ac:dyDescent="0.2">
      <c r="A138" s="70">
        <f>5/12</f>
        <v>0.41666666666666669</v>
      </c>
      <c r="B138" s="28">
        <f t="shared" si="6"/>
        <v>229.16666666666669</v>
      </c>
      <c r="C138" s="28">
        <f t="shared" si="7"/>
        <v>187.5</v>
      </c>
      <c r="D138" s="28">
        <f t="shared" si="8"/>
        <v>187.5</v>
      </c>
      <c r="E138" s="28">
        <f t="shared" si="9"/>
        <v>187.5</v>
      </c>
      <c r="F138" s="28">
        <f t="shared" si="10"/>
        <v>302.08333333333337</v>
      </c>
      <c r="G138" s="71"/>
    </row>
    <row r="139" spans="1:7" x14ac:dyDescent="0.2">
      <c r="A139" s="70">
        <f>4/12</f>
        <v>0.33333333333333331</v>
      </c>
      <c r="B139" s="28">
        <f t="shared" si="6"/>
        <v>239</v>
      </c>
      <c r="C139" s="28">
        <f t="shared" si="7"/>
        <v>83.333333333333329</v>
      </c>
      <c r="D139" s="28">
        <f t="shared" si="8"/>
        <v>150</v>
      </c>
      <c r="E139" s="28">
        <f t="shared" si="9"/>
        <v>108.33333333333333</v>
      </c>
      <c r="F139" s="28">
        <f t="shared" si="10"/>
        <v>416.66666666666663</v>
      </c>
      <c r="G139" s="71"/>
    </row>
    <row r="140" spans="1:7" x14ac:dyDescent="0.2">
      <c r="A140" s="70">
        <f>3/12</f>
        <v>0.25</v>
      </c>
      <c r="B140" s="28">
        <f t="shared" si="6"/>
        <v>0</v>
      </c>
      <c r="C140" s="28">
        <f t="shared" si="7"/>
        <v>94.5</v>
      </c>
      <c r="D140" s="28">
        <f t="shared" si="8"/>
        <v>81</v>
      </c>
      <c r="E140" s="28">
        <f t="shared" si="9"/>
        <v>76.75</v>
      </c>
      <c r="F140" s="28">
        <f t="shared" si="10"/>
        <v>208.75</v>
      </c>
      <c r="G140" s="71"/>
    </row>
    <row r="141" spans="1:7" x14ac:dyDescent="0.2">
      <c r="A141" s="70">
        <f>2/12</f>
        <v>0.16666666666666666</v>
      </c>
      <c r="B141" s="28">
        <f t="shared" si="6"/>
        <v>0</v>
      </c>
      <c r="C141" s="28">
        <f t="shared" si="7"/>
        <v>0</v>
      </c>
      <c r="D141" s="28">
        <f t="shared" si="8"/>
        <v>0</v>
      </c>
      <c r="E141" s="28">
        <f t="shared" si="9"/>
        <v>0</v>
      </c>
      <c r="F141" s="28">
        <f t="shared" si="10"/>
        <v>0</v>
      </c>
      <c r="G141" s="71"/>
    </row>
    <row r="142" spans="1:7" x14ac:dyDescent="0.2">
      <c r="A142" s="70">
        <f>1/12</f>
        <v>8.3333333333333329E-2</v>
      </c>
      <c r="B142" s="28">
        <f t="shared" si="6"/>
        <v>0</v>
      </c>
      <c r="C142" s="28">
        <f t="shared" si="7"/>
        <v>0</v>
      </c>
      <c r="D142" s="28">
        <f t="shared" si="8"/>
        <v>0</v>
      </c>
      <c r="E142" s="28">
        <f t="shared" si="9"/>
        <v>0</v>
      </c>
      <c r="F142" s="28">
        <f t="shared" si="10"/>
        <v>0</v>
      </c>
      <c r="G142" s="71"/>
    </row>
    <row r="143" spans="1:7" x14ac:dyDescent="0.2">
      <c r="A143" s="96" t="s">
        <v>78</v>
      </c>
      <c r="B143" s="56">
        <f>SUM(B131:B142)</f>
        <v>3449</v>
      </c>
      <c r="C143" s="56">
        <f t="shared" ref="C143:F143" si="11">SUM(C131:C142)</f>
        <v>2930.3333333333335</v>
      </c>
      <c r="D143" s="56">
        <f t="shared" si="11"/>
        <v>2644.333333333333</v>
      </c>
      <c r="E143" s="56">
        <f t="shared" si="11"/>
        <v>2638.3333333333335</v>
      </c>
      <c r="F143" s="56">
        <f t="shared" si="11"/>
        <v>3120.8333333333335</v>
      </c>
      <c r="G143" s="97">
        <f>SUM(B143:F143)</f>
        <v>14782.833333333336</v>
      </c>
    </row>
    <row r="144" spans="1:7" x14ac:dyDescent="0.2">
      <c r="A144" s="67"/>
      <c r="B144" s="98" t="s">
        <v>83</v>
      </c>
      <c r="C144" s="98"/>
      <c r="D144" s="98"/>
      <c r="E144" s="98"/>
      <c r="F144" s="98"/>
      <c r="G144" s="69"/>
    </row>
    <row r="145" spans="1:7" x14ac:dyDescent="0.2">
      <c r="A145" s="70"/>
      <c r="B145" s="28" t="s">
        <v>44</v>
      </c>
      <c r="C145" s="28" t="s">
        <v>45</v>
      </c>
      <c r="D145" s="28" t="s">
        <v>46</v>
      </c>
      <c r="E145" s="28" t="s">
        <v>47</v>
      </c>
      <c r="F145" s="28" t="s">
        <v>48</v>
      </c>
      <c r="G145" s="71"/>
    </row>
    <row r="146" spans="1:7" x14ac:dyDescent="0.2">
      <c r="A146" s="70">
        <f>12/12</f>
        <v>1</v>
      </c>
      <c r="B146" s="28">
        <f t="shared" ref="B146:B157" si="12">D8*$A146</f>
        <v>0</v>
      </c>
      <c r="C146" s="28">
        <f t="shared" ref="C146:C157" si="13">G8*$A146</f>
        <v>0</v>
      </c>
      <c r="D146" s="28">
        <f t="shared" ref="D146:D157" si="14">J8*$A146</f>
        <v>0</v>
      </c>
      <c r="E146" s="28">
        <f t="shared" ref="E146:E157" si="15">M8*$A146</f>
        <v>0</v>
      </c>
      <c r="F146" s="28">
        <f t="shared" ref="F146:F157" si="16">P8*$A146</f>
        <v>0</v>
      </c>
      <c r="G146" s="71"/>
    </row>
    <row r="147" spans="1:7" x14ac:dyDescent="0.2">
      <c r="A147" s="70">
        <f>11/12</f>
        <v>0.91666666666666663</v>
      </c>
      <c r="B147" s="28">
        <f t="shared" si="12"/>
        <v>0</v>
      </c>
      <c r="C147" s="28">
        <f t="shared" si="13"/>
        <v>0</v>
      </c>
      <c r="D147" s="28">
        <f t="shared" si="14"/>
        <v>0</v>
      </c>
      <c r="E147" s="28">
        <f t="shared" si="15"/>
        <v>0</v>
      </c>
      <c r="F147" s="28">
        <f t="shared" si="16"/>
        <v>0</v>
      </c>
      <c r="G147" s="71"/>
    </row>
    <row r="148" spans="1:7" x14ac:dyDescent="0.2">
      <c r="A148" s="70">
        <f>10/12</f>
        <v>0.83333333333333337</v>
      </c>
      <c r="B148" s="28">
        <f t="shared" si="12"/>
        <v>0</v>
      </c>
      <c r="C148" s="28">
        <f t="shared" si="13"/>
        <v>0</v>
      </c>
      <c r="D148" s="28">
        <f t="shared" si="14"/>
        <v>0</v>
      </c>
      <c r="E148" s="28">
        <f t="shared" si="15"/>
        <v>0</v>
      </c>
      <c r="F148" s="28">
        <f t="shared" si="16"/>
        <v>0</v>
      </c>
      <c r="G148" s="71"/>
    </row>
    <row r="149" spans="1:7" x14ac:dyDescent="0.2">
      <c r="A149" s="70">
        <f>9/12</f>
        <v>0.75</v>
      </c>
      <c r="B149" s="28">
        <f t="shared" si="12"/>
        <v>0</v>
      </c>
      <c r="C149" s="28">
        <f t="shared" si="13"/>
        <v>0</v>
      </c>
      <c r="D149" s="28">
        <f t="shared" si="14"/>
        <v>0</v>
      </c>
      <c r="E149" s="28">
        <f t="shared" si="15"/>
        <v>0</v>
      </c>
      <c r="F149" s="28">
        <f t="shared" si="16"/>
        <v>0</v>
      </c>
      <c r="G149" s="71"/>
    </row>
    <row r="150" spans="1:7" x14ac:dyDescent="0.2">
      <c r="A150" s="70">
        <f>8/12</f>
        <v>0.66666666666666663</v>
      </c>
      <c r="B150" s="28">
        <f t="shared" si="12"/>
        <v>0</v>
      </c>
      <c r="C150" s="28">
        <f t="shared" si="13"/>
        <v>0</v>
      </c>
      <c r="D150" s="28">
        <f t="shared" si="14"/>
        <v>0</v>
      </c>
      <c r="E150" s="28">
        <f t="shared" si="15"/>
        <v>0</v>
      </c>
      <c r="F150" s="28">
        <f t="shared" si="16"/>
        <v>0</v>
      </c>
      <c r="G150" s="71"/>
    </row>
    <row r="151" spans="1:7" x14ac:dyDescent="0.2">
      <c r="A151" s="70">
        <f>7/12</f>
        <v>0.58333333333333337</v>
      </c>
      <c r="B151" s="28">
        <f t="shared" si="12"/>
        <v>0</v>
      </c>
      <c r="C151" s="28">
        <f t="shared" si="13"/>
        <v>0</v>
      </c>
      <c r="D151" s="28">
        <f t="shared" si="14"/>
        <v>0</v>
      </c>
      <c r="E151" s="28">
        <f t="shared" si="15"/>
        <v>0</v>
      </c>
      <c r="F151" s="28">
        <f t="shared" si="16"/>
        <v>0</v>
      </c>
      <c r="G151" s="71"/>
    </row>
    <row r="152" spans="1:7" x14ac:dyDescent="0.2">
      <c r="A152" s="70">
        <f>6/12</f>
        <v>0.5</v>
      </c>
      <c r="B152" s="28">
        <f t="shared" si="12"/>
        <v>0</v>
      </c>
      <c r="C152" s="28">
        <f t="shared" si="13"/>
        <v>0</v>
      </c>
      <c r="D152" s="28">
        <f t="shared" si="14"/>
        <v>0</v>
      </c>
      <c r="E152" s="28">
        <f t="shared" si="15"/>
        <v>0</v>
      </c>
      <c r="F152" s="28">
        <f t="shared" si="16"/>
        <v>0</v>
      </c>
      <c r="G152" s="71"/>
    </row>
    <row r="153" spans="1:7" x14ac:dyDescent="0.2">
      <c r="A153" s="70">
        <f>5/12</f>
        <v>0.41666666666666669</v>
      </c>
      <c r="B153" s="28">
        <f t="shared" si="12"/>
        <v>0</v>
      </c>
      <c r="C153" s="28">
        <f t="shared" si="13"/>
        <v>0</v>
      </c>
      <c r="D153" s="28">
        <f t="shared" si="14"/>
        <v>0</v>
      </c>
      <c r="E153" s="28">
        <f t="shared" si="15"/>
        <v>0</v>
      </c>
      <c r="F153" s="28">
        <f t="shared" si="16"/>
        <v>0</v>
      </c>
      <c r="G153" s="71"/>
    </row>
    <row r="154" spans="1:7" x14ac:dyDescent="0.2">
      <c r="A154" s="70">
        <f>4/12</f>
        <v>0.33333333333333331</v>
      </c>
      <c r="B154" s="28">
        <f t="shared" si="12"/>
        <v>0</v>
      </c>
      <c r="C154" s="28">
        <f t="shared" si="13"/>
        <v>0</v>
      </c>
      <c r="D154" s="28">
        <f t="shared" si="14"/>
        <v>0</v>
      </c>
      <c r="E154" s="28">
        <f t="shared" si="15"/>
        <v>0</v>
      </c>
      <c r="F154" s="28">
        <f t="shared" si="16"/>
        <v>0</v>
      </c>
      <c r="G154" s="71"/>
    </row>
    <row r="155" spans="1:7" x14ac:dyDescent="0.2">
      <c r="A155" s="70">
        <f>3/12</f>
        <v>0.25</v>
      </c>
      <c r="B155" s="28">
        <f t="shared" si="12"/>
        <v>0</v>
      </c>
      <c r="C155" s="28">
        <f t="shared" si="13"/>
        <v>0</v>
      </c>
      <c r="D155" s="28">
        <f t="shared" si="14"/>
        <v>0</v>
      </c>
      <c r="E155" s="28">
        <f t="shared" si="15"/>
        <v>0</v>
      </c>
      <c r="F155" s="28">
        <f t="shared" si="16"/>
        <v>0</v>
      </c>
      <c r="G155" s="71"/>
    </row>
    <row r="156" spans="1:7" x14ac:dyDescent="0.2">
      <c r="A156" s="70">
        <f>2/12</f>
        <v>0.16666666666666666</v>
      </c>
      <c r="B156" s="28">
        <f t="shared" si="12"/>
        <v>0</v>
      </c>
      <c r="C156" s="28">
        <f t="shared" si="13"/>
        <v>0</v>
      </c>
      <c r="D156" s="28">
        <f t="shared" si="14"/>
        <v>0</v>
      </c>
      <c r="E156" s="28">
        <f t="shared" si="15"/>
        <v>0</v>
      </c>
      <c r="F156" s="28">
        <f t="shared" si="16"/>
        <v>0</v>
      </c>
      <c r="G156" s="71"/>
    </row>
    <row r="157" spans="1:7" x14ac:dyDescent="0.2">
      <c r="A157" s="70">
        <f>1/12</f>
        <v>8.3333333333333329E-2</v>
      </c>
      <c r="B157" s="28">
        <f t="shared" si="12"/>
        <v>0</v>
      </c>
      <c r="C157" s="28">
        <f t="shared" si="13"/>
        <v>0</v>
      </c>
      <c r="D157" s="28">
        <f t="shared" si="14"/>
        <v>0</v>
      </c>
      <c r="E157" s="28">
        <f t="shared" si="15"/>
        <v>0</v>
      </c>
      <c r="F157" s="28">
        <f t="shared" si="16"/>
        <v>0</v>
      </c>
      <c r="G157" s="71"/>
    </row>
    <row r="158" spans="1:7" x14ac:dyDescent="0.2">
      <c r="A158" s="96" t="s">
        <v>78</v>
      </c>
      <c r="B158" s="56">
        <f>SUM(B146:B157)</f>
        <v>0</v>
      </c>
      <c r="C158" s="56">
        <f t="shared" ref="C158:F158" si="17">SUM(C146:C157)</f>
        <v>0</v>
      </c>
      <c r="D158" s="56">
        <f t="shared" si="17"/>
        <v>0</v>
      </c>
      <c r="E158" s="56">
        <f t="shared" si="17"/>
        <v>0</v>
      </c>
      <c r="F158" s="56">
        <f t="shared" si="17"/>
        <v>0</v>
      </c>
      <c r="G158" s="97">
        <f>SUM(B158:F158)</f>
        <v>0</v>
      </c>
    </row>
  </sheetData>
  <sheetProtection algorithmName="SHA-512" hashValue="rOKMWqPAV0nQDepDyg/mS/j6F2/hwuCwNBUKIX45fUuwDkk/+eNod3sIHVKEbfkFcGlfdTpWac+l/8s44T1yhQ==" saltValue="Ia4VdzfkQkkQSGK/DsWsVg==" spinCount="100000" sheet="1" objects="1" scenarios="1"/>
  <mergeCells count="15">
    <mergeCell ref="A34:B34"/>
    <mergeCell ref="H1:J3"/>
    <mergeCell ref="B6:D6"/>
    <mergeCell ref="E6:G6"/>
    <mergeCell ref="H6:J6"/>
    <mergeCell ref="A22:A23"/>
    <mergeCell ref="D4:G4"/>
    <mergeCell ref="H4:N4"/>
    <mergeCell ref="N5:P5"/>
    <mergeCell ref="K6:M6"/>
    <mergeCell ref="N6:P6"/>
    <mergeCell ref="K5:M5"/>
    <mergeCell ref="B5:D5"/>
    <mergeCell ref="E5:G5"/>
    <mergeCell ref="H5:J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custom" allowBlank="1" showInputMessage="1" showErrorMessage="1" errorTitle="Wrong cells" error="You answered Q2.a. on the Data Entry Sheet with a 2. This means you need to enter a single combined count of branded animals in the column labelled &quot;Combined heifers &amp; steers&quot;.">
          <x14:formula1>
            <xm:f>IF('Data Entry'!$B$6=2,FALSE,TRUE)</xm:f>
          </x14:formula1>
          <xm:sqref>B8:C19 E8:F19 H8:I19 K8:L19</xm:sqref>
        </x14:dataValidation>
        <x14:dataValidation type="custom" allowBlank="1" showInputMessage="1" showErrorMessage="1" errorTitle="Wrong cells" error="You answered Q2.a. on the Data Entry Sheet with a 2. This means you need to enter a single combined count of branded animals in the column labelled &quot;Combined heifers &amp; steers&quot;.">
          <x14:formula1>
            <xm:f>IF('Data Entry'!$B$6=2,FALSE,TRUE)</xm:f>
          </x14:formula1>
          <xm:sqref>N8:O19</xm:sqref>
        </x14:dataValidation>
        <x14:dataValidation type="custom" allowBlank="1" showInputMessage="1" showErrorMessage="1" errorTitle="Wrong cells" error="You answered Q2.a. on the Data Entry Sheet with 1. This means you need to enter separate counts for Branded Heifers and Branded Steers. If you want to enter a single combined count, change the value for Q2.a.">
          <x14:formula1>
            <xm:f>IF('Data Entry'!$B$6=1,FALSE,TRUE)</xm:f>
          </x14:formula1>
          <xm:sqref>D8:D19 G8:G19 J8:J19 M8:M19</xm:sqref>
        </x14:dataValidation>
        <x14:dataValidation type="custom" allowBlank="1" showInputMessage="1" showErrorMessage="1" errorTitle="Wrong cells" error="You answered Q2.a. on the Data Entry Sheet with 1. This means you need to enter separate counts for Branded Heifers and Branded Steers. If you want to enter a single combined count, change the value for Q2.a.">
          <x14:formula1>
            <xm:f>IF('Data Entry'!$B$6=1,FALSE,TRUE)</xm:f>
          </x14:formula1>
          <xm:sqref>P8:P19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08"/>
  <sheetViews>
    <sheetView zoomScale="90" zoomScaleNormal="90" workbookViewId="0">
      <selection activeCell="A50" sqref="A50"/>
    </sheetView>
  </sheetViews>
  <sheetFormatPr defaultRowHeight="15" x14ac:dyDescent="0.25"/>
  <cols>
    <col min="1" max="1" width="40.7109375" style="100" customWidth="1"/>
    <col min="2" max="2" width="18.140625" style="100" customWidth="1"/>
    <col min="3" max="3" width="6" style="99" customWidth="1"/>
    <col min="4" max="4" width="18.140625" style="99" customWidth="1"/>
    <col min="5" max="5" width="89.28515625" style="99" customWidth="1"/>
    <col min="6" max="6" width="9.140625" style="99"/>
    <col min="7" max="16384" width="9.140625" style="100"/>
  </cols>
  <sheetData>
    <row r="1" spans="1:8" ht="96" customHeight="1" thickBot="1" x14ac:dyDescent="0.3">
      <c r="A1" s="213" t="s">
        <v>109</v>
      </c>
      <c r="B1" s="214"/>
      <c r="C1" s="214"/>
      <c r="D1" s="214"/>
      <c r="E1" s="214"/>
    </row>
    <row r="2" spans="1:8" ht="30" customHeight="1" x14ac:dyDescent="0.25">
      <c r="A2" s="207" t="s">
        <v>28</v>
      </c>
      <c r="B2" s="208"/>
      <c r="C2" s="94"/>
      <c r="D2" s="209" t="s">
        <v>29</v>
      </c>
      <c r="E2" s="210"/>
    </row>
    <row r="3" spans="1:8" ht="19.5" customHeight="1" x14ac:dyDescent="0.25">
      <c r="A3" s="105" t="s">
        <v>15</v>
      </c>
      <c r="B3" s="150">
        <f>'Data Entry'!B4</f>
        <v>5</v>
      </c>
      <c r="C3" s="101"/>
      <c r="D3" s="153">
        <f ca="1">B4-B6+B9+B12</f>
        <v>138484</v>
      </c>
      <c r="E3" s="109" t="s">
        <v>85</v>
      </c>
      <c r="H3" s="102"/>
    </row>
    <row r="4" spans="1:8" ht="19.5" customHeight="1" x14ac:dyDescent="0.25">
      <c r="A4" s="106" t="s">
        <v>8</v>
      </c>
      <c r="B4" s="151">
        <f ca="1">(SUM(INDIRECT("'Data Entry'!B12:"&amp;VLOOKUP($B$3,$A$99:$B$108,2,0)&amp;12)))</f>
        <v>132959</v>
      </c>
      <c r="C4" s="101"/>
      <c r="D4" s="154">
        <f ca="1">B4-('Sales by Month'!B31)+('Purchases by Month'!B31)+('Brandings by Month'!C30)</f>
        <v>139338.5</v>
      </c>
      <c r="E4" s="110" t="s">
        <v>86</v>
      </c>
      <c r="H4" s="102"/>
    </row>
    <row r="5" spans="1:8" ht="20.100000000000001" customHeight="1" x14ac:dyDescent="0.25">
      <c r="A5" s="106" t="s">
        <v>0</v>
      </c>
      <c r="B5" s="151">
        <f ca="1">(SUM(INDIRECT("'Data Entry'!B13:"&amp;VLOOKUP($B$3,$A$99:$B$108,2,0)&amp;13)))</f>
        <v>90300</v>
      </c>
      <c r="C5" s="103"/>
      <c r="D5" s="154">
        <f ca="1">B5-('Sales by Month'!B30)+('Purchases by Month'!B30)</f>
        <v>81897.833333333328</v>
      </c>
      <c r="E5" s="110" t="s">
        <v>87</v>
      </c>
      <c r="H5" s="102"/>
    </row>
    <row r="6" spans="1:8" ht="20.100000000000001" customHeight="1" x14ac:dyDescent="0.25">
      <c r="A6" s="106" t="s">
        <v>34</v>
      </c>
      <c r="B6" s="151">
        <f>'Sales by Month'!B25</f>
        <v>20674</v>
      </c>
      <c r="C6" s="103"/>
      <c r="D6" s="154">
        <f ca="1">(B4-B5)-('Sales by Month'!B29)+('Purchases by Month'!B29)+('Brandings by Month'!C30)</f>
        <v>57440.666666666672</v>
      </c>
      <c r="E6" s="110" t="s">
        <v>88</v>
      </c>
      <c r="H6" s="102"/>
    </row>
    <row r="7" spans="1:8" ht="20.100000000000001" customHeight="1" x14ac:dyDescent="0.25">
      <c r="A7" s="107" t="s">
        <v>35</v>
      </c>
      <c r="B7" s="151">
        <f>'Sales by Month'!B24</f>
        <v>20674</v>
      </c>
      <c r="C7" s="103"/>
      <c r="D7" s="154">
        <f ca="1">D3-B13</f>
        <v>7406</v>
      </c>
      <c r="E7" s="110" t="s">
        <v>9</v>
      </c>
      <c r="H7" s="102"/>
    </row>
    <row r="8" spans="1:8" ht="20.100000000000001" customHeight="1" x14ac:dyDescent="0.25">
      <c r="A8" s="106" t="s">
        <v>36</v>
      </c>
      <c r="B8" s="151">
        <f>'Sales by Month'!B23</f>
        <v>0</v>
      </c>
      <c r="C8" s="103"/>
      <c r="D8" s="154">
        <f ca="1">'Data Entry'!B8*Output!D6</f>
        <v>1723.22</v>
      </c>
      <c r="E8" s="110" t="s">
        <v>10</v>
      </c>
    </row>
    <row r="9" spans="1:8" ht="20.100000000000001" customHeight="1" x14ac:dyDescent="0.25">
      <c r="A9" s="106" t="s">
        <v>38</v>
      </c>
      <c r="B9" s="151">
        <f>'Purchases by Month'!B25</f>
        <v>0</v>
      </c>
      <c r="C9" s="103"/>
      <c r="D9" s="154">
        <f ca="1">D7-D8</f>
        <v>5682.78</v>
      </c>
      <c r="E9" s="110" t="s">
        <v>11</v>
      </c>
    </row>
    <row r="10" spans="1:8" ht="20.100000000000001" customHeight="1" x14ac:dyDescent="0.25">
      <c r="A10" s="107" t="s">
        <v>39</v>
      </c>
      <c r="B10" s="151">
        <f>'Purchases by Month'!B24</f>
        <v>0</v>
      </c>
      <c r="C10" s="103"/>
      <c r="D10" s="154">
        <f ca="1">B14-B15+B16+B17</f>
        <v>32290</v>
      </c>
      <c r="E10" s="110" t="s">
        <v>89</v>
      </c>
    </row>
    <row r="11" spans="1:8" ht="20.100000000000001" customHeight="1" x14ac:dyDescent="0.25">
      <c r="A11" s="106" t="s">
        <v>40</v>
      </c>
      <c r="B11" s="151">
        <f>'Purchases by Month'!B23</f>
        <v>0</v>
      </c>
      <c r="C11" s="103"/>
      <c r="D11" s="154">
        <f ca="1">B14-('Sales by Month'!B32)+('Purchases by Month'!B32)+('Brandings by Month'!C31)</f>
        <v>36586.333333333343</v>
      </c>
      <c r="E11" s="110" t="s">
        <v>93</v>
      </c>
    </row>
    <row r="12" spans="1:8" ht="20.100000000000001" customHeight="1" thickBot="1" x14ac:dyDescent="0.3">
      <c r="A12" s="106" t="s">
        <v>84</v>
      </c>
      <c r="B12" s="151">
        <f>'Brandings by Month'!D26</f>
        <v>26199</v>
      </c>
      <c r="C12" s="104"/>
      <c r="D12" s="155">
        <f ca="1">D10-B18</f>
        <v>2874</v>
      </c>
      <c r="E12" s="111" t="s">
        <v>95</v>
      </c>
    </row>
    <row r="13" spans="1:8" ht="20.100000000000001" customHeight="1" x14ac:dyDescent="0.25">
      <c r="A13" s="106" t="s">
        <v>106</v>
      </c>
      <c r="B13" s="151">
        <f ca="1">(SUM(INDIRECT("'Data Entry'!B16:"&amp;VLOOKUP($B$3,$A$99:$B$108,2,0)&amp;17)))</f>
        <v>131078</v>
      </c>
      <c r="C13" s="104"/>
    </row>
    <row r="14" spans="1:8" ht="20.100000000000001" customHeight="1" thickBot="1" x14ac:dyDescent="0.3">
      <c r="A14" s="106" t="s">
        <v>1</v>
      </c>
      <c r="B14" s="151">
        <f ca="1">(SUM(INDIRECT("'Data Entry'!B19:"&amp;VLOOKUP($B$3,$A$99:$B$108,2,0)&amp;19)))</f>
        <v>35212</v>
      </c>
      <c r="C14" s="104"/>
    </row>
    <row r="15" spans="1:8" ht="20.100000000000001" customHeight="1" x14ac:dyDescent="0.25">
      <c r="A15" s="106" t="s">
        <v>37</v>
      </c>
      <c r="B15" s="151">
        <f>'Sales by Month'!B26</f>
        <v>31906</v>
      </c>
      <c r="C15" s="103"/>
      <c r="D15" s="211" t="s">
        <v>30</v>
      </c>
      <c r="E15" s="212"/>
    </row>
    <row r="16" spans="1:8" ht="20.100000000000001" customHeight="1" x14ac:dyDescent="0.25">
      <c r="A16" s="106" t="s">
        <v>3</v>
      </c>
      <c r="B16" s="151">
        <f>'Purchases by Month'!B26</f>
        <v>2666</v>
      </c>
      <c r="C16" s="103"/>
      <c r="D16" s="112">
        <f ca="1">(D7/D4)*100</f>
        <v>5.3151139132400589</v>
      </c>
      <c r="E16" s="113" t="s">
        <v>53</v>
      </c>
      <c r="F16" s="100"/>
    </row>
    <row r="17" spans="1:5" ht="20.100000000000001" customHeight="1" x14ac:dyDescent="0.25">
      <c r="A17" s="106" t="s">
        <v>90</v>
      </c>
      <c r="B17" s="151">
        <f>'Brandings by Month'!D27</f>
        <v>26318</v>
      </c>
      <c r="C17" s="103"/>
      <c r="D17" s="114">
        <f ca="1">(D9/D5)*100</f>
        <v>6.9388648865354607</v>
      </c>
      <c r="E17" s="115" t="s">
        <v>54</v>
      </c>
    </row>
    <row r="18" spans="1:5" ht="20.100000000000001" customHeight="1" thickBot="1" x14ac:dyDescent="0.3">
      <c r="A18" s="108" t="s">
        <v>107</v>
      </c>
      <c r="B18" s="152">
        <f ca="1">(SUM(INDIRECT("'Data Entry'!B22:"&amp;VLOOKUP($B$3,$A$99:$B$108,2,0)&amp;23)))</f>
        <v>29416</v>
      </c>
      <c r="C18" s="103"/>
      <c r="D18" s="116">
        <f ca="1">(D12/D11)*100</f>
        <v>7.8553922685155637</v>
      </c>
      <c r="E18" s="117" t="s">
        <v>55</v>
      </c>
    </row>
    <row r="19" spans="1:5" ht="30" customHeight="1" x14ac:dyDescent="0.25">
      <c r="A19" s="58"/>
      <c r="C19" s="103"/>
    </row>
    <row r="20" spans="1:5" ht="24.95" customHeight="1" x14ac:dyDescent="0.25">
      <c r="A20" s="99"/>
    </row>
    <row r="21" spans="1:5" ht="24.95" customHeight="1" x14ac:dyDescent="0.25">
      <c r="A21" s="99"/>
    </row>
    <row r="22" spans="1:5" ht="24.95" customHeight="1" x14ac:dyDescent="0.25"/>
    <row r="99" spans="1:2" x14ac:dyDescent="0.25">
      <c r="A99" s="100">
        <v>1</v>
      </c>
      <c r="B99" s="100" t="s">
        <v>16</v>
      </c>
    </row>
    <row r="100" spans="1:2" x14ac:dyDescent="0.25">
      <c r="A100" s="100">
        <v>2</v>
      </c>
      <c r="B100" s="100" t="s">
        <v>17</v>
      </c>
    </row>
    <row r="101" spans="1:2" x14ac:dyDescent="0.25">
      <c r="A101" s="100">
        <v>3</v>
      </c>
      <c r="B101" s="100" t="s">
        <v>18</v>
      </c>
    </row>
    <row r="102" spans="1:2" x14ac:dyDescent="0.25">
      <c r="A102" s="100">
        <v>4</v>
      </c>
      <c r="B102" s="100" t="s">
        <v>19</v>
      </c>
    </row>
    <row r="103" spans="1:2" x14ac:dyDescent="0.25">
      <c r="A103" s="100">
        <v>5</v>
      </c>
      <c r="B103" s="100" t="s">
        <v>20</v>
      </c>
    </row>
    <row r="104" spans="1:2" x14ac:dyDescent="0.25">
      <c r="A104" s="100">
        <v>6</v>
      </c>
      <c r="B104" s="100" t="s">
        <v>21</v>
      </c>
    </row>
    <row r="105" spans="1:2" x14ac:dyDescent="0.25">
      <c r="A105" s="100">
        <v>7</v>
      </c>
      <c r="B105" s="100" t="s">
        <v>22</v>
      </c>
    </row>
    <row r="106" spans="1:2" x14ac:dyDescent="0.25">
      <c r="A106" s="100">
        <v>8</v>
      </c>
      <c r="B106" s="100" t="s">
        <v>23</v>
      </c>
    </row>
    <row r="107" spans="1:2" x14ac:dyDescent="0.25">
      <c r="A107" s="100">
        <v>9</v>
      </c>
      <c r="B107" s="100" t="s">
        <v>24</v>
      </c>
    </row>
    <row r="108" spans="1:2" x14ac:dyDescent="0.25">
      <c r="A108" s="100">
        <v>10</v>
      </c>
      <c r="B108" s="100" t="s">
        <v>25</v>
      </c>
    </row>
  </sheetData>
  <sheetProtection password="EE55" sheet="1" objects="1" scenarios="1"/>
  <mergeCells count="4">
    <mergeCell ref="A2:B2"/>
    <mergeCell ref="D2:E2"/>
    <mergeCell ref="D15:E15"/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Entry</vt:lpstr>
      <vt:lpstr>Sales by Month</vt:lpstr>
      <vt:lpstr>Purchases by Month</vt:lpstr>
      <vt:lpstr>Brandings by Month</vt:lpstr>
      <vt:lpstr>Output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Banney</dc:creator>
  <cp:lastModifiedBy>Rebecca Niebler</cp:lastModifiedBy>
  <cp:lastPrinted>2012-01-15T05:27:13Z</cp:lastPrinted>
  <dcterms:created xsi:type="dcterms:W3CDTF">2011-07-05T06:34:34Z</dcterms:created>
  <dcterms:modified xsi:type="dcterms:W3CDTF">2013-05-15T01:27:26Z</dcterms:modified>
</cp:coreProperties>
</file>