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7775" windowHeight="10755" activeTab="1"/>
  </bookViews>
  <sheets>
    <sheet name="Data Entry" sheetId="8" r:id="rId1"/>
    <sheet name="Output" sheetId="9" r:id="rId2"/>
  </sheets>
  <calcPr calcId="145621"/>
</workbook>
</file>

<file path=xl/calcChain.xml><?xml version="1.0" encoding="utf-8"?>
<calcChain xmlns="http://schemas.openxmlformats.org/spreadsheetml/2006/main">
  <c r="G9" i="8" l="1"/>
  <c r="H9" i="8"/>
  <c r="I9" i="8"/>
  <c r="J9" i="8"/>
  <c r="K9" i="8"/>
  <c r="B3" i="9" l="1"/>
  <c r="F9" i="8"/>
  <c r="E9" i="8"/>
  <c r="D9" i="8"/>
  <c r="C9" i="8"/>
  <c r="B9" i="8"/>
  <c r="F10" i="8"/>
  <c r="E10" i="8"/>
  <c r="D10" i="8"/>
  <c r="C10" i="8"/>
  <c r="B13" i="9"/>
  <c r="B10" i="9"/>
  <c r="B14" i="9"/>
  <c r="B12" i="9"/>
  <c r="B8" i="9"/>
  <c r="B4" i="9"/>
  <c r="B7" i="9"/>
  <c r="B5" i="9"/>
  <c r="B11" i="9"/>
  <c r="B6" i="9"/>
  <c r="D3" i="9" l="1"/>
  <c r="B9" i="9"/>
  <c r="B15" i="9"/>
  <c r="D10" i="9" l="1"/>
  <c r="D15" i="9" s="1"/>
  <c r="D11" i="9" l="1"/>
  <c r="D13" i="9" s="1"/>
  <c r="D23" i="9" s="1"/>
  <c r="D12" i="9"/>
  <c r="D20" i="9" l="1"/>
  <c r="D5" i="9"/>
  <c r="D14" i="9"/>
  <c r="D4" i="9"/>
  <c r="D7" i="9" s="1"/>
  <c r="D6" i="9"/>
  <c r="D8" i="9" s="1"/>
  <c r="D22" i="9" l="1"/>
  <c r="D9" i="9"/>
  <c r="D19" i="9" s="1"/>
  <c r="D18" i="9"/>
</calcChain>
</file>

<file path=xl/sharedStrings.xml><?xml version="1.0" encoding="utf-8"?>
<sst xmlns="http://schemas.openxmlformats.org/spreadsheetml/2006/main" count="80" uniqueCount="63">
  <si>
    <t>Opening breeders</t>
  </si>
  <si>
    <t>Opening steers</t>
  </si>
  <si>
    <t>Sales of steers</t>
  </si>
  <si>
    <t>Purchase of steers</t>
  </si>
  <si>
    <t>Female sales</t>
  </si>
  <si>
    <t>Female purchases</t>
  </si>
  <si>
    <t>Livestock schedule</t>
  </si>
  <si>
    <t>Opening females</t>
  </si>
  <si>
    <t xml:space="preserve">Deaths in all females </t>
  </si>
  <si>
    <t>Deaths in non-breeding females</t>
  </si>
  <si>
    <t>Deaths in breeding females</t>
  </si>
  <si>
    <t>1. How many years of data are you going to enter?</t>
  </si>
  <si>
    <t>3. Expected proportion of deaths per year in non-breeding females</t>
  </si>
  <si>
    <t>The tool can handle up to 10 years of data</t>
  </si>
  <si>
    <t>Closing females</t>
  </si>
  <si>
    <t>Closing steers</t>
  </si>
  <si>
    <t>Number of years of records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</si>
  <si>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</si>
  <si>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</si>
  <si>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</si>
  <si>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</si>
  <si>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</si>
  <si>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</si>
  <si>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</si>
  <si>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</si>
  <si>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</si>
  <si>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</si>
  <si>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Branded during year</t>
  </si>
  <si>
    <t>Summary from entered data</t>
  </si>
  <si>
    <t>Calculations using entered data to derive additional estimates</t>
  </si>
  <si>
    <t>Count of branded heifers</t>
  </si>
  <si>
    <t>Count of branded steers</t>
  </si>
  <si>
    <t>Mortality rate estimates</t>
  </si>
  <si>
    <t>Starting assumption is 50% females.</t>
  </si>
  <si>
    <t>Starting assumption is 3% deaths per yr.</t>
  </si>
  <si>
    <t>2. Proportion of branded animals that are expected to be female?</t>
  </si>
  <si>
    <t>Breeder deaths per 100 breeders per year</t>
  </si>
  <si>
    <t>Notes:</t>
  </si>
  <si>
    <t>Rations (female only)</t>
  </si>
  <si>
    <t>Branded count during year (males and females)</t>
  </si>
  <si>
    <t>Rations (steers only)</t>
  </si>
  <si>
    <t>Rations (females only)</t>
  </si>
  <si>
    <t>Closing females adjusted for rations</t>
  </si>
  <si>
    <t>Closing steers adjusted for rations</t>
  </si>
  <si>
    <t>Closing female count - BOOK (opening count - sales + purchases + branded heifers)</t>
  </si>
  <si>
    <t>At-risk non-breeding females</t>
  </si>
  <si>
    <t>Closing steer count - BOOK (opening count - sales + purchases + branded steers)</t>
  </si>
  <si>
    <t>Deaths in steers</t>
  </si>
  <si>
    <t>Mortality rate estimates using denominators that incorporate adjustment for sales (#2)</t>
  </si>
  <si>
    <t>At-risk-females #1 (opening_females + 0.5*branded_heifers+0.5*female_purchases)</t>
  </si>
  <si>
    <t>At-risk-steers #1 (opening_steers + 0.5*branded_steers + 0.5*steer_purchases)</t>
  </si>
  <si>
    <t>At-risk-steers #2 (opening_steers + 0.5*branded_steers + 0.5*purchases - 0.5*sales)</t>
  </si>
  <si>
    <t>Female deaths per 100 females per year, using At-risk-females #1</t>
  </si>
  <si>
    <t>Steer deaths per 100 steers per year, using At-risk-steers #1</t>
  </si>
  <si>
    <t>Female deaths per 100 females per year, using At-risk-females #2 (adjusted for sales)</t>
  </si>
  <si>
    <t>Steer deaths per 100 steers per year, using At-risk-steers #2 (adjusted for sales)</t>
  </si>
  <si>
    <t>Steer sales</t>
  </si>
  <si>
    <t>Steer purchases</t>
  </si>
  <si>
    <t>At-risk-females #2 (opening_females + 0.5*branded_heifers + 0.5*purchases - 0.5*sales)</t>
  </si>
  <si>
    <t>4. Enter animal counts below for each year</t>
  </si>
  <si>
    <t>© Meat &amp; Livestock Australia Limited, 2013</t>
  </si>
  <si>
    <t>Breeder Mortality Calculator 1.0 Simple</t>
  </si>
  <si>
    <t>Breeder Mortality Calculator 1.0 Simple -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</si>
</sst>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4"/>
      <color rgb="FF006633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rgb="FF006633"/>
      <name val="Arial"/>
      <family val="2"/>
    </font>
    <font>
      <b/>
      <sz val="11"/>
      <color rgb="FF993300"/>
      <name val="Arial"/>
      <family val="2"/>
    </font>
    <font>
      <sz val="11"/>
      <color theme="9" tint="0.7999816888943144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00663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FC7"/>
        <bgColor indexed="64"/>
      </patternFill>
    </fill>
    <fill>
      <patternFill patternType="solid">
        <fgColor rgb="FFFFBB1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0077BB"/>
      </left>
      <right/>
      <top style="medium">
        <color rgb="FF0077BB"/>
      </top>
      <bottom style="thin">
        <color rgb="FF0077BB"/>
      </bottom>
      <diagonal/>
    </border>
    <border>
      <left/>
      <right style="medium">
        <color rgb="FF0077BB"/>
      </right>
      <top style="medium">
        <color rgb="FF0077BB"/>
      </top>
      <bottom style="thin">
        <color rgb="FF0077BB"/>
      </bottom>
      <diagonal/>
    </border>
    <border>
      <left style="medium">
        <color rgb="FF0077BB"/>
      </left>
      <right style="thin">
        <color rgb="FF0077BB"/>
      </right>
      <top style="thin">
        <color rgb="FF0077BB"/>
      </top>
      <bottom style="hair">
        <color auto="1"/>
      </bottom>
      <diagonal/>
    </border>
    <border>
      <left/>
      <right style="medium">
        <color rgb="FF0077BB"/>
      </right>
      <top/>
      <bottom style="hair">
        <color auto="1"/>
      </bottom>
      <diagonal/>
    </border>
    <border>
      <left style="medium">
        <color rgb="FF0077BB"/>
      </left>
      <right style="thin">
        <color rgb="FF0077BB"/>
      </right>
      <top style="hair">
        <color auto="1"/>
      </top>
      <bottom style="hair">
        <color auto="1"/>
      </bottom>
      <diagonal/>
    </border>
    <border>
      <left/>
      <right style="medium">
        <color rgb="FF0077BB"/>
      </right>
      <top style="hair">
        <color auto="1"/>
      </top>
      <bottom style="hair">
        <color auto="1"/>
      </bottom>
      <diagonal/>
    </border>
    <border>
      <left style="medium">
        <color rgb="FF0077BB"/>
      </left>
      <right style="thin">
        <color rgb="FF0077BB"/>
      </right>
      <top style="hair">
        <color auto="1"/>
      </top>
      <bottom style="medium">
        <color rgb="FF0077BB"/>
      </bottom>
      <diagonal/>
    </border>
    <border>
      <left/>
      <right style="medium">
        <color rgb="FF0077BB"/>
      </right>
      <top style="hair">
        <color auto="1"/>
      </top>
      <bottom style="medium">
        <color rgb="FF0077BB"/>
      </bottom>
      <diagonal/>
    </border>
    <border>
      <left style="medium">
        <color rgb="FF993300"/>
      </left>
      <right/>
      <top style="medium">
        <color rgb="FF993300"/>
      </top>
      <bottom style="thin">
        <color rgb="FF993300"/>
      </bottom>
      <diagonal/>
    </border>
    <border>
      <left/>
      <right style="medium">
        <color rgb="FF993300"/>
      </right>
      <top style="medium">
        <color rgb="FF993300"/>
      </top>
      <bottom style="thin">
        <color rgb="FF993300"/>
      </bottom>
      <diagonal/>
    </border>
    <border>
      <left style="medium">
        <color rgb="FF993300"/>
      </left>
      <right style="thin">
        <color rgb="FF993300"/>
      </right>
      <top/>
      <bottom style="hair">
        <color auto="1"/>
      </bottom>
      <diagonal/>
    </border>
    <border>
      <left/>
      <right style="medium">
        <color rgb="FF993300"/>
      </right>
      <top/>
      <bottom style="hair">
        <color auto="1"/>
      </bottom>
      <diagonal/>
    </border>
    <border>
      <left style="medium">
        <color rgb="FF993300"/>
      </left>
      <right style="thin">
        <color rgb="FF993300"/>
      </right>
      <top style="hair">
        <color auto="1"/>
      </top>
      <bottom style="hair">
        <color auto="1"/>
      </bottom>
      <diagonal/>
    </border>
    <border>
      <left/>
      <right style="medium">
        <color rgb="FF993300"/>
      </right>
      <top style="hair">
        <color auto="1"/>
      </top>
      <bottom style="hair">
        <color auto="1"/>
      </bottom>
      <diagonal/>
    </border>
    <border>
      <left style="medium">
        <color rgb="FF993300"/>
      </left>
      <right style="thin">
        <color rgb="FF993300"/>
      </right>
      <top style="hair">
        <color auto="1"/>
      </top>
      <bottom style="medium">
        <color rgb="FF993300"/>
      </bottom>
      <diagonal/>
    </border>
    <border>
      <left/>
      <right style="medium">
        <color rgb="FF993300"/>
      </right>
      <top style="hair">
        <color auto="1"/>
      </top>
      <bottom style="medium">
        <color rgb="FF993300"/>
      </bottom>
      <diagonal/>
    </border>
    <border>
      <left style="medium">
        <color rgb="FF006633"/>
      </left>
      <right/>
      <top style="medium">
        <color rgb="FF006633"/>
      </top>
      <bottom style="thin">
        <color rgb="FF006633"/>
      </bottom>
      <diagonal/>
    </border>
    <border>
      <left/>
      <right style="medium">
        <color rgb="FF006633"/>
      </right>
      <top style="medium">
        <color rgb="FF006633"/>
      </top>
      <bottom style="thin">
        <color rgb="FF006633"/>
      </bottom>
      <diagonal/>
    </border>
    <border>
      <left style="medium">
        <color rgb="FF006633"/>
      </left>
      <right style="thin">
        <color rgb="FF006633"/>
      </right>
      <top style="thin">
        <color rgb="FF006633"/>
      </top>
      <bottom style="hair">
        <color auto="1"/>
      </bottom>
      <diagonal/>
    </border>
    <border>
      <left/>
      <right style="medium">
        <color rgb="FF006633"/>
      </right>
      <top/>
      <bottom style="hair">
        <color auto="1"/>
      </bottom>
      <diagonal/>
    </border>
    <border>
      <left style="medium">
        <color rgb="FF006633"/>
      </left>
      <right style="thin">
        <color rgb="FF006633"/>
      </right>
      <top style="hair">
        <color auto="1"/>
      </top>
      <bottom style="hair">
        <color auto="1"/>
      </bottom>
      <diagonal/>
    </border>
    <border>
      <left/>
      <right style="medium">
        <color rgb="FF006633"/>
      </right>
      <top style="hair">
        <color auto="1"/>
      </top>
      <bottom style="hair">
        <color auto="1"/>
      </bottom>
      <diagonal/>
    </border>
    <border>
      <left style="medium">
        <color rgb="FF006633"/>
      </left>
      <right style="thin">
        <color rgb="FF006633"/>
      </right>
      <top style="hair">
        <color auto="1"/>
      </top>
      <bottom style="thin">
        <color indexed="64"/>
      </bottom>
      <diagonal/>
    </border>
    <border>
      <left/>
      <right style="medium">
        <color rgb="FF006633"/>
      </right>
      <top style="hair">
        <color auto="1"/>
      </top>
      <bottom/>
      <diagonal/>
    </border>
    <border>
      <left style="medium">
        <color rgb="FF006633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6633"/>
      </right>
      <top style="thin">
        <color indexed="64"/>
      </top>
      <bottom style="thin">
        <color indexed="64"/>
      </bottom>
      <diagonal/>
    </border>
    <border>
      <left style="medium">
        <color rgb="FF006633"/>
      </left>
      <right style="thin">
        <color rgb="FF006633"/>
      </right>
      <top style="thin">
        <color indexed="64"/>
      </top>
      <bottom style="hair">
        <color auto="1"/>
      </bottom>
      <diagonal/>
    </border>
    <border>
      <left style="medium">
        <color rgb="FF006633"/>
      </left>
      <right style="thin">
        <color rgb="FF006633"/>
      </right>
      <top style="hair">
        <color auto="1"/>
      </top>
      <bottom style="medium">
        <color rgb="FF006633"/>
      </bottom>
      <diagonal/>
    </border>
    <border>
      <left/>
      <right style="medium">
        <color rgb="FF006633"/>
      </right>
      <top style="hair">
        <color auto="1"/>
      </top>
      <bottom style="medium">
        <color rgb="FF006633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4" fillId="3" borderId="7" xfId="0" applyNumberFormat="1" applyFont="1" applyFill="1" applyBorder="1" applyAlignment="1" applyProtection="1">
      <alignment horizontal="center" vertical="center"/>
      <protection locked="0"/>
    </xf>
    <xf numFmtId="3" fontId="4" fillId="3" borderId="14" xfId="0" applyNumberFormat="1" applyFont="1" applyFill="1" applyBorder="1" applyAlignment="1" applyProtection="1">
      <alignment horizontal="center" vertical="center"/>
      <protection locked="0"/>
    </xf>
    <xf numFmtId="3" fontId="4" fillId="3" borderId="12" xfId="0" applyNumberFormat="1" applyFont="1" applyFill="1" applyBorder="1" applyAlignment="1" applyProtection="1">
      <alignment horizontal="center" vertical="center"/>
      <protection locked="0"/>
    </xf>
    <xf numFmtId="3" fontId="4" fillId="3" borderId="4" xfId="0" applyNumberFormat="1" applyFont="1" applyFill="1" applyBorder="1" applyAlignment="1" applyProtection="1">
      <alignment horizontal="center" vertical="center"/>
      <protection locked="0"/>
    </xf>
    <xf numFmtId="3" fontId="4" fillId="3" borderId="15" xfId="0" applyNumberFormat="1" applyFont="1" applyFill="1" applyBorder="1" applyAlignment="1" applyProtection="1">
      <alignment horizontal="center" vertical="center"/>
      <protection locked="0"/>
    </xf>
    <xf numFmtId="3" fontId="4" fillId="3" borderId="10" xfId="0" applyNumberFormat="1" applyFont="1" applyFill="1" applyBorder="1" applyAlignment="1" applyProtection="1">
      <alignment horizontal="center" vertical="center"/>
      <protection locked="0"/>
    </xf>
    <xf numFmtId="3" fontId="4" fillId="3" borderId="8" xfId="0" applyNumberFormat="1" applyFont="1" applyFill="1" applyBorder="1" applyAlignment="1" applyProtection="1">
      <alignment horizontal="center" vertical="center"/>
      <protection locked="0"/>
    </xf>
    <xf numFmtId="3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left" vertical="center"/>
    </xf>
    <xf numFmtId="0" fontId="0" fillId="4" borderId="9" xfId="0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/>
    <xf numFmtId="0" fontId="7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" fillId="4" borderId="0" xfId="0" applyFont="1" applyFill="1" applyAlignment="1"/>
    <xf numFmtId="0" fontId="1" fillId="4" borderId="13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vertical="center"/>
    </xf>
    <xf numFmtId="0" fontId="1" fillId="4" borderId="11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0" fillId="4" borderId="0" xfId="0" applyFont="1" applyFill="1" applyBorder="1"/>
    <xf numFmtId="0" fontId="0" fillId="4" borderId="0" xfId="0" applyFont="1" applyFill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8" fillId="4" borderId="0" xfId="0" applyFont="1" applyFill="1"/>
    <xf numFmtId="0" fontId="1" fillId="4" borderId="0" xfId="0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0" fontId="9" fillId="4" borderId="18" xfId="0" applyFont="1" applyFill="1" applyBorder="1" applyAlignment="1">
      <alignment vertical="center"/>
    </xf>
    <xf numFmtId="0" fontId="10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vertical="center"/>
    </xf>
    <xf numFmtId="3" fontId="10" fillId="4" borderId="21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vertical="center"/>
    </xf>
    <xf numFmtId="3" fontId="10" fillId="4" borderId="23" xfId="0" applyNumberFormat="1" applyFont="1" applyFill="1" applyBorder="1" applyAlignment="1">
      <alignment horizontal="center" vertical="center"/>
    </xf>
    <xf numFmtId="3" fontId="10" fillId="4" borderId="26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vertical="center"/>
    </xf>
    <xf numFmtId="3" fontId="10" fillId="4" borderId="28" xfId="0" applyNumberFormat="1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vertical="center"/>
    </xf>
    <xf numFmtId="3" fontId="10" fillId="4" borderId="30" xfId="0" applyNumberFormat="1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2" fontId="13" fillId="2" borderId="34" xfId="0" applyNumberFormat="1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vertical="center" wrapText="1"/>
    </xf>
    <xf numFmtId="2" fontId="13" fillId="2" borderId="36" xfId="0" applyNumberFormat="1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vertical="center"/>
    </xf>
    <xf numFmtId="2" fontId="13" fillId="2" borderId="38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vertical="center" wrapText="1"/>
    </xf>
    <xf numFmtId="2" fontId="13" fillId="2" borderId="42" xfId="0" applyNumberFormat="1" applyFont="1" applyFill="1" applyBorder="1" applyAlignment="1">
      <alignment horizontal="center" vertical="center"/>
    </xf>
    <xf numFmtId="2" fontId="13" fillId="2" borderId="43" xfId="0" applyNumberFormat="1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vertical="center" wrapText="1"/>
    </xf>
    <xf numFmtId="0" fontId="1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00"/>
      <color rgb="FFFFEFC7"/>
      <color rgb="FF006633"/>
      <color rgb="FF0077BB"/>
      <color rgb="FFFFBB16"/>
      <color rgb="FFFFBB88"/>
      <color rgb="FFC8DED4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Output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594537</xdr:colOff>
      <xdr:row>4</xdr:row>
      <xdr:rowOff>21789</xdr:rowOff>
    </xdr:from>
    <xdr:to>
      <xdr:col>5</xdr:col>
      <xdr:colOff>336802</xdr:colOff>
      <xdr:row>5</xdr:row>
      <xdr:rowOff>346760</xdr:rowOff>
    </xdr:to>
    <xdr:sp macro="" textlink="">
      <xdr:nvSpPr>
        <xdr:cNvPr id="5" name="Right Brace 4"/>
        <xdr:cNvSpPr/>
      </xdr:nvSpPr>
      <xdr:spPr>
        <a:xfrm>
          <a:off x="7632454" y="2868706"/>
          <a:ext cx="652431" cy="705971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3750808</xdr:colOff>
      <xdr:row>1</xdr:row>
      <xdr:rowOff>192368</xdr:rowOff>
    </xdr:from>
    <xdr:to>
      <xdr:col>5</xdr:col>
      <xdr:colOff>857201</xdr:colOff>
      <xdr:row>1</xdr:row>
      <xdr:rowOff>709084</xdr:rowOff>
    </xdr:to>
    <xdr:sp macro="" textlink="">
      <xdr:nvSpPr>
        <xdr:cNvPr id="4" name="TextBox 3"/>
        <xdr:cNvSpPr txBox="1"/>
      </xdr:nvSpPr>
      <xdr:spPr>
        <a:xfrm>
          <a:off x="3750808" y="1441201"/>
          <a:ext cx="5054476" cy="516716"/>
        </a:xfrm>
        <a:prstGeom prst="rect">
          <a:avLst/>
        </a:prstGeom>
        <a:solidFill>
          <a:srgbClr val="993300"/>
        </a:solidFill>
        <a:ln w="9525" cmpd="sng">
          <a:solidFill>
            <a:srgbClr val="9933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spcAft>
              <a:spcPts val="300"/>
            </a:spcAft>
          </a:pPr>
          <a:r>
            <a:rPr lang="en-AU" sz="12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Instructions: </a:t>
          </a:r>
          <a:r>
            <a:rPr lang="en-AU" sz="1200" b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Enter your data</a:t>
          </a:r>
          <a:r>
            <a:rPr lang="en-AU" sz="1200" b="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AU" sz="1200" b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into the dark yellow shaded areas below.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r>
            <a:rPr lang="en-AU" sz="1200" b="0">
              <a:solidFill>
                <a:schemeClr val="bg1"/>
              </a:solidFill>
              <a:latin typeface="Arial" pitchFamily="34" charset="0"/>
              <a:ea typeface="+mn-ea"/>
              <a:cs typeface="Arial" pitchFamily="34" charset="0"/>
            </a:rPr>
            <a:t>Then review results on 'Output' tab</a:t>
          </a:r>
          <a:r>
            <a:rPr lang="en-AU" sz="1100" b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AU" sz="1200">
            <a:solidFill>
              <a:schemeClr val="bg1"/>
            </a:solidFill>
            <a:effectLst/>
          </a:endParaRPr>
        </a:p>
        <a:p>
          <a:pPr algn="ctr"/>
          <a:endParaRPr lang="en-AU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414619</xdr:colOff>
      <xdr:row>4</xdr:row>
      <xdr:rowOff>67236</xdr:rowOff>
    </xdr:from>
    <xdr:to>
      <xdr:col>7</xdr:col>
      <xdr:colOff>783166</xdr:colOff>
      <xdr:row>5</xdr:row>
      <xdr:rowOff>264583</xdr:rowOff>
    </xdr:to>
    <xdr:sp macro="" textlink="">
      <xdr:nvSpPr>
        <xdr:cNvPr id="6" name="TextBox 5"/>
        <xdr:cNvSpPr txBox="1"/>
      </xdr:nvSpPr>
      <xdr:spPr>
        <a:xfrm>
          <a:off x="8362702" y="2914153"/>
          <a:ext cx="2188881" cy="578347"/>
        </a:xfrm>
        <a:prstGeom prst="rect">
          <a:avLst/>
        </a:prstGeom>
        <a:solidFill>
          <a:srgbClr val="FFBB88"/>
        </a:solidFill>
        <a:ln w="9525" cmpd="sng">
          <a:solidFill>
            <a:srgbClr val="9933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100" b="1" i="0">
              <a:latin typeface="Arial" pitchFamily="34" charset="0"/>
              <a:cs typeface="Arial" pitchFamily="34" charset="0"/>
            </a:rPr>
            <a:t>Note: </a:t>
          </a:r>
          <a:r>
            <a:rPr lang="en-AU" sz="1100" i="0">
              <a:latin typeface="Arial" pitchFamily="34" charset="0"/>
              <a:cs typeface="Arial" pitchFamily="34" charset="0"/>
            </a:rPr>
            <a:t>Enter another figure if appropriate for your situation. </a:t>
          </a:r>
        </a:p>
        <a:p>
          <a:pPr algn="ctr"/>
          <a:r>
            <a:rPr lang="en-AU" sz="1100" i="0">
              <a:latin typeface="Arial" pitchFamily="34" charset="0"/>
              <a:cs typeface="Arial" pitchFamily="34" charset="0"/>
            </a:rPr>
            <a:t>Must be between 0 and 1.</a:t>
          </a:r>
        </a:p>
      </xdr:txBody>
    </xdr:sp>
    <xdr:clientData/>
  </xdr:twoCellAnchor>
  <xdr:twoCellAnchor>
    <xdr:from>
      <xdr:col>0</xdr:col>
      <xdr:colOff>249766</xdr:colOff>
      <xdr:row>21</xdr:row>
      <xdr:rowOff>175683</xdr:rowOff>
    </xdr:from>
    <xdr:to>
      <xdr:col>0</xdr:col>
      <xdr:colOff>1191676</xdr:colOff>
      <xdr:row>23</xdr:row>
      <xdr:rowOff>91015</xdr:rowOff>
    </xdr:to>
    <xdr:grpSp>
      <xdr:nvGrpSpPr>
        <xdr:cNvPr id="10" name="Group 9"/>
        <xdr:cNvGrpSpPr/>
      </xdr:nvGrpSpPr>
      <xdr:grpSpPr>
        <a:xfrm>
          <a:off x="249766" y="7973483"/>
          <a:ext cx="941910" cy="270932"/>
          <a:chOff x="10107089" y="7874000"/>
          <a:chExt cx="941910" cy="264582"/>
        </a:xfrm>
        <a:effectLst>
          <a:glow rad="139700">
            <a:srgbClr val="FCBB16">
              <a:alpha val="40000"/>
            </a:srgbClr>
          </a:glow>
        </a:effectLst>
      </xdr:grpSpPr>
      <xdr:sp macro="" textlink="">
        <xdr:nvSpPr>
          <xdr:cNvPr id="11" name="Pentagon 10"/>
          <xdr:cNvSpPr/>
        </xdr:nvSpPr>
        <xdr:spPr>
          <a:xfrm>
            <a:off x="10107089" y="7874000"/>
            <a:ext cx="941910" cy="264582"/>
          </a:xfrm>
          <a:prstGeom prst="homePlate">
            <a:avLst/>
          </a:prstGeom>
          <a:solidFill>
            <a:srgbClr val="993300"/>
          </a:solidFill>
          <a:ln>
            <a:solidFill>
              <a:srgbClr val="9933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12" name="TextBox 11">
            <a:hlinkClick xmlns:r="http://schemas.openxmlformats.org/officeDocument/2006/relationships" r:id="rId1"/>
          </xdr:cNvPr>
          <xdr:cNvSpPr txBox="1"/>
        </xdr:nvSpPr>
        <xdr:spPr>
          <a:xfrm>
            <a:off x="10128252" y="7895167"/>
            <a:ext cx="751415" cy="222250"/>
          </a:xfrm>
          <a:prstGeom prst="rect">
            <a:avLst/>
          </a:prstGeom>
          <a:gradFill flip="none" rotWithShape="1">
            <a:gsLst>
              <a:gs pos="0">
                <a:schemeClr val="bg1"/>
              </a:gs>
              <a:gs pos="50000">
                <a:schemeClr val="bg1"/>
              </a:gs>
              <a:gs pos="100000">
                <a:srgbClr val="993300"/>
              </a:gs>
            </a:gsLst>
            <a:lin ang="600000" scaled="0"/>
            <a:tileRect/>
          </a:gra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AU" sz="1200" b="1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Next </a:t>
            </a:r>
          </a:p>
        </xdr:txBody>
      </xdr:sp>
    </xdr:grpSp>
    <xdr:clientData/>
  </xdr:twoCellAnchor>
  <xdr:oneCellAnchor>
    <xdr:from>
      <xdr:col>8</xdr:col>
      <xdr:colOff>863600</xdr:colOff>
      <xdr:row>0</xdr:row>
      <xdr:rowOff>139700</xdr:rowOff>
    </xdr:from>
    <xdr:ext cx="1837765" cy="1058334"/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870"/>
        <a:stretch/>
      </xdr:blipFill>
      <xdr:spPr>
        <a:xfrm>
          <a:off x="11569700" y="139700"/>
          <a:ext cx="1837765" cy="10583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4965700</xdr:colOff>
      <xdr:row>0</xdr:row>
      <xdr:rowOff>152400</xdr:rowOff>
    </xdr:from>
    <xdr:to>
      <xdr:col>4</xdr:col>
      <xdr:colOff>6713936</xdr:colOff>
      <xdr:row>0</xdr:row>
      <xdr:rowOff>1169043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36"/>
        <a:stretch/>
      </xdr:blipFill>
      <xdr:spPr>
        <a:xfrm>
          <a:off x="10312400" y="152400"/>
          <a:ext cx="1748236" cy="1016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75" zoomScaleNormal="75" workbookViewId="0">
      <selection activeCell="A64" sqref="A64"/>
    </sheetView>
  </sheetViews>
  <sheetFormatPr defaultRowHeight="14.25" x14ac:dyDescent="0.2"/>
  <cols>
    <col min="1" max="1" width="64.5703125" style="14" customWidth="1"/>
    <col min="2" max="11" width="13.7109375" style="14" customWidth="1"/>
    <col min="12" max="12" width="24.5703125" style="14" customWidth="1"/>
    <col min="13" max="16384" width="9.140625" style="14"/>
  </cols>
  <sheetData>
    <row r="1" spans="1:12" s="15" customFormat="1" ht="96" customHeight="1" thickBot="1" x14ac:dyDescent="0.3">
      <c r="A1" s="13"/>
      <c r="B1" s="12" t="s">
        <v>61</v>
      </c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56.25" customHeight="1" x14ac:dyDescent="0.2"/>
    <row r="3" spans="1:12" ht="27.75" customHeight="1" x14ac:dyDescent="0.25">
      <c r="A3" s="16"/>
      <c r="B3" s="16"/>
      <c r="C3" s="17" t="s">
        <v>37</v>
      </c>
    </row>
    <row r="4" spans="1:12" ht="30" customHeight="1" x14ac:dyDescent="0.2">
      <c r="A4" s="18" t="s">
        <v>11</v>
      </c>
      <c r="B4" s="9">
        <v>5</v>
      </c>
      <c r="C4" s="19" t="s">
        <v>13</v>
      </c>
    </row>
    <row r="5" spans="1:12" ht="30" customHeight="1" x14ac:dyDescent="0.2">
      <c r="A5" s="20" t="s">
        <v>35</v>
      </c>
      <c r="B5" s="10">
        <v>0.5</v>
      </c>
      <c r="C5" s="21" t="s">
        <v>33</v>
      </c>
      <c r="D5" s="22"/>
      <c r="E5" s="22"/>
      <c r="G5" s="63"/>
      <c r="H5" s="63"/>
      <c r="I5" s="63"/>
      <c r="J5" s="63"/>
      <c r="K5" s="63"/>
    </row>
    <row r="6" spans="1:12" ht="30" customHeight="1" x14ac:dyDescent="0.2">
      <c r="A6" s="23" t="s">
        <v>12</v>
      </c>
      <c r="B6" s="11">
        <v>0.03</v>
      </c>
      <c r="C6" s="21" t="s">
        <v>34</v>
      </c>
      <c r="D6" s="22"/>
      <c r="E6" s="22"/>
      <c r="G6" s="63"/>
      <c r="H6" s="63"/>
      <c r="I6" s="63"/>
      <c r="J6" s="63"/>
      <c r="K6" s="63"/>
    </row>
    <row r="7" spans="1:12" ht="15" x14ac:dyDescent="0.2">
      <c r="A7" s="24"/>
      <c r="B7" s="25"/>
      <c r="C7" s="26"/>
      <c r="D7" s="27"/>
      <c r="E7" s="27"/>
      <c r="F7" s="27"/>
    </row>
    <row r="8" spans="1:12" ht="30" customHeight="1" x14ac:dyDescent="0.2">
      <c r="A8" s="28" t="s">
        <v>59</v>
      </c>
    </row>
    <row r="9" spans="1:12" ht="23.1" customHeight="1" x14ac:dyDescent="0.2">
      <c r="A9" s="29" t="s">
        <v>6</v>
      </c>
      <c r="B9" s="52" t="str">
        <f>IF($B$4+1&gt;1,"Year 1","")</f>
        <v>Year 1</v>
      </c>
      <c r="C9" s="52" t="str">
        <f>IF($B$4+1&gt;2,"Year 2","")</f>
        <v>Year 2</v>
      </c>
      <c r="D9" s="52" t="str">
        <f>IF($B$4+1&gt;3,"Year 3","")</f>
        <v>Year 3</v>
      </c>
      <c r="E9" s="52" t="str">
        <f>IF($B$4+1&gt;4,"Year 4","")</f>
        <v>Year 4</v>
      </c>
      <c r="F9" s="52" t="str">
        <f>IF($B$4+1&gt;5,"Year 5","")</f>
        <v>Year 5</v>
      </c>
      <c r="G9" s="52" t="str">
        <f>IF($B$4+1&gt;6,"Year 6","")</f>
        <v/>
      </c>
      <c r="H9" s="52" t="str">
        <f>IF($B$4+1&gt;7,"Year 7","")</f>
        <v/>
      </c>
      <c r="I9" s="52" t="str">
        <f>IF($B$4+1&gt;8,"Year 8","")</f>
        <v/>
      </c>
      <c r="J9" s="52" t="str">
        <f>IF($B$4+1&gt;9,"Year 9","")</f>
        <v/>
      </c>
      <c r="K9" s="52" t="str">
        <f>IF($B$4+1&gt;10,"Year 10","")</f>
        <v/>
      </c>
    </row>
    <row r="10" spans="1:12" ht="23.1" customHeight="1" x14ac:dyDescent="0.2">
      <c r="A10" s="30" t="s">
        <v>7</v>
      </c>
      <c r="B10" s="1">
        <v>25505</v>
      </c>
      <c r="C10" s="1">
        <f>B15</f>
        <v>29311</v>
      </c>
      <c r="D10" s="1">
        <f t="shared" ref="D10:F10" si="0">C15</f>
        <v>32799</v>
      </c>
      <c r="E10" s="1">
        <f t="shared" si="0"/>
        <v>22836</v>
      </c>
      <c r="F10" s="1">
        <f t="shared" si="0"/>
        <v>22508</v>
      </c>
      <c r="G10" s="2"/>
      <c r="H10" s="2"/>
      <c r="I10" s="2"/>
      <c r="J10" s="2"/>
      <c r="K10" s="3"/>
    </row>
    <row r="11" spans="1:12" ht="23.1" customHeight="1" x14ac:dyDescent="0.2">
      <c r="A11" s="31" t="s">
        <v>0</v>
      </c>
      <c r="B11" s="1">
        <v>18293</v>
      </c>
      <c r="C11" s="1">
        <v>16331</v>
      </c>
      <c r="D11" s="1">
        <v>17896</v>
      </c>
      <c r="E11" s="1">
        <v>18860</v>
      </c>
      <c r="F11" s="1">
        <v>18920</v>
      </c>
      <c r="G11" s="1"/>
      <c r="H11" s="1"/>
      <c r="I11" s="1"/>
      <c r="J11" s="1"/>
      <c r="K11" s="4"/>
    </row>
    <row r="12" spans="1:12" ht="23.1" customHeight="1" x14ac:dyDescent="0.2">
      <c r="A12" s="31" t="s">
        <v>4</v>
      </c>
      <c r="B12" s="1">
        <v>1698</v>
      </c>
      <c r="C12" s="1">
        <v>1248</v>
      </c>
      <c r="D12" s="1">
        <v>8173</v>
      </c>
      <c r="E12" s="1">
        <v>6029</v>
      </c>
      <c r="F12" s="1">
        <v>3526</v>
      </c>
      <c r="G12" s="1"/>
      <c r="H12" s="1"/>
      <c r="I12" s="1"/>
      <c r="J12" s="1"/>
      <c r="K12" s="4"/>
    </row>
    <row r="13" spans="1:12" ht="23.1" customHeight="1" x14ac:dyDescent="0.2">
      <c r="A13" s="31" t="s">
        <v>5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/>
      <c r="H13" s="1"/>
      <c r="I13" s="1"/>
      <c r="J13" s="1"/>
      <c r="K13" s="4"/>
    </row>
    <row r="14" spans="1:12" ht="23.1" customHeight="1" x14ac:dyDescent="0.2">
      <c r="A14" s="31" t="s">
        <v>38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/>
      <c r="H14" s="1"/>
      <c r="I14" s="1"/>
      <c r="J14" s="1"/>
      <c r="K14" s="4"/>
    </row>
    <row r="15" spans="1:12" ht="23.1" customHeight="1" x14ac:dyDescent="0.2">
      <c r="A15" s="31" t="s">
        <v>14</v>
      </c>
      <c r="B15" s="1">
        <v>29311</v>
      </c>
      <c r="C15" s="1">
        <v>32799</v>
      </c>
      <c r="D15" s="1">
        <v>22836</v>
      </c>
      <c r="E15" s="1">
        <v>22508</v>
      </c>
      <c r="F15" s="1">
        <v>23624</v>
      </c>
      <c r="G15" s="1"/>
      <c r="H15" s="1"/>
      <c r="I15" s="1"/>
      <c r="J15" s="1"/>
      <c r="K15" s="4"/>
    </row>
    <row r="16" spans="1:12" ht="23.1" customHeight="1" x14ac:dyDescent="0.2">
      <c r="A16" s="31" t="s">
        <v>39</v>
      </c>
      <c r="B16" s="1">
        <v>11527</v>
      </c>
      <c r="C16" s="1">
        <v>10183</v>
      </c>
      <c r="D16" s="1">
        <v>9194</v>
      </c>
      <c r="E16" s="1">
        <v>9238</v>
      </c>
      <c r="F16" s="1">
        <v>12375</v>
      </c>
      <c r="G16" s="1"/>
      <c r="H16" s="1"/>
      <c r="I16" s="1"/>
      <c r="J16" s="1"/>
      <c r="K16" s="4"/>
    </row>
    <row r="17" spans="1:11" ht="23.1" customHeight="1" x14ac:dyDescent="0.2">
      <c r="A17" s="31" t="s">
        <v>1</v>
      </c>
      <c r="B17" s="1">
        <v>6686</v>
      </c>
      <c r="C17" s="1">
        <v>11101</v>
      </c>
      <c r="D17" s="1">
        <v>16246</v>
      </c>
      <c r="E17" s="1">
        <v>556</v>
      </c>
      <c r="F17" s="1">
        <v>556</v>
      </c>
      <c r="G17" s="1"/>
      <c r="H17" s="1"/>
      <c r="I17" s="1"/>
      <c r="J17" s="1"/>
      <c r="K17" s="4"/>
    </row>
    <row r="18" spans="1:11" ht="23.1" customHeight="1" x14ac:dyDescent="0.2">
      <c r="A18" s="31" t="s">
        <v>56</v>
      </c>
      <c r="B18" s="1">
        <v>864</v>
      </c>
      <c r="C18" s="1">
        <v>3324</v>
      </c>
      <c r="D18" s="1">
        <v>17272</v>
      </c>
      <c r="E18" s="1">
        <v>4743</v>
      </c>
      <c r="F18" s="1">
        <v>5664</v>
      </c>
      <c r="G18" s="1"/>
      <c r="H18" s="1"/>
      <c r="I18" s="1"/>
      <c r="J18" s="1"/>
      <c r="K18" s="4"/>
    </row>
    <row r="19" spans="1:11" ht="23.1" customHeight="1" x14ac:dyDescent="0.2">
      <c r="A19" s="31" t="s">
        <v>57</v>
      </c>
      <c r="B19" s="1">
        <v>0</v>
      </c>
      <c r="C19" s="1">
        <v>2666</v>
      </c>
      <c r="D19" s="1">
        <v>0</v>
      </c>
      <c r="E19" s="1">
        <v>0</v>
      </c>
      <c r="F19" s="1">
        <v>0</v>
      </c>
      <c r="G19" s="1"/>
      <c r="H19" s="1"/>
      <c r="I19" s="1"/>
      <c r="J19" s="1"/>
      <c r="K19" s="4"/>
    </row>
    <row r="20" spans="1:11" ht="23.1" customHeight="1" x14ac:dyDescent="0.2">
      <c r="A20" s="31" t="s">
        <v>40</v>
      </c>
      <c r="B20" s="1">
        <v>20</v>
      </c>
      <c r="C20" s="1">
        <v>18</v>
      </c>
      <c r="D20" s="1">
        <v>20</v>
      </c>
      <c r="E20" s="1">
        <v>19</v>
      </c>
      <c r="F20" s="1">
        <v>21</v>
      </c>
      <c r="G20" s="5"/>
      <c r="H20" s="5"/>
      <c r="I20" s="5"/>
      <c r="J20" s="5"/>
      <c r="K20" s="6"/>
    </row>
    <row r="21" spans="1:11" ht="23.1" customHeight="1" x14ac:dyDescent="0.2">
      <c r="A21" s="32" t="s">
        <v>15</v>
      </c>
      <c r="B21" s="7">
        <v>11101</v>
      </c>
      <c r="C21" s="7">
        <v>16264</v>
      </c>
      <c r="D21" s="7">
        <v>576</v>
      </c>
      <c r="E21" s="7">
        <v>575</v>
      </c>
      <c r="F21" s="7">
        <v>735</v>
      </c>
      <c r="G21" s="7"/>
      <c r="H21" s="7"/>
      <c r="I21" s="7"/>
      <c r="J21" s="7"/>
      <c r="K21" s="8"/>
    </row>
    <row r="24" spans="1:11" x14ac:dyDescent="0.2">
      <c r="A24" s="16"/>
    </row>
    <row r="26" spans="1:11" x14ac:dyDescent="0.2">
      <c r="A26" s="53" t="s">
        <v>60</v>
      </c>
    </row>
  </sheetData>
  <sheetProtection password="EE55" sheet="1" objects="1" scenarios="1"/>
  <mergeCells count="1">
    <mergeCell ref="G5:K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9"/>
  <sheetViews>
    <sheetView tabSelected="1" zoomScale="75" zoomScaleNormal="75" workbookViewId="0">
      <selection activeCell="A81" sqref="A81"/>
    </sheetView>
  </sheetViews>
  <sheetFormatPr defaultRowHeight="15" x14ac:dyDescent="0.25"/>
  <cols>
    <col min="1" max="1" width="39.7109375" style="34" customWidth="1"/>
    <col min="2" max="2" width="18.140625" style="34" customWidth="1"/>
    <col min="3" max="3" width="6" style="33" customWidth="1"/>
    <col min="4" max="4" width="18.140625" style="33" customWidth="1"/>
    <col min="5" max="5" width="101" style="33" customWidth="1"/>
    <col min="6" max="6" width="9.140625" style="33"/>
    <col min="7" max="16384" width="9.140625" style="34"/>
  </cols>
  <sheetData>
    <row r="1" spans="1:23" ht="96" customHeight="1" thickBot="1" x14ac:dyDescent="0.3">
      <c r="A1" s="64" t="s">
        <v>62</v>
      </c>
      <c r="B1" s="65"/>
      <c r="C1" s="65"/>
      <c r="D1" s="65"/>
      <c r="E1" s="65"/>
    </row>
    <row r="2" spans="1:23" ht="30" customHeight="1" x14ac:dyDescent="0.25">
      <c r="A2" s="67" t="s">
        <v>28</v>
      </c>
      <c r="B2" s="68"/>
      <c r="C2" s="35"/>
      <c r="D2" s="69" t="s">
        <v>29</v>
      </c>
      <c r="E2" s="70"/>
    </row>
    <row r="3" spans="1:23" ht="19.5" customHeight="1" x14ac:dyDescent="0.25">
      <c r="A3" s="40" t="s">
        <v>16</v>
      </c>
      <c r="B3" s="41">
        <f>'Data Entry'!$B$4</f>
        <v>5</v>
      </c>
      <c r="C3" s="36"/>
      <c r="D3" s="46">
        <f ca="1">B10*'Data Entry'!$B$5</f>
        <v>26258.5</v>
      </c>
      <c r="E3" s="47" t="s">
        <v>30</v>
      </c>
      <c r="V3" s="37">
        <v>1</v>
      </c>
      <c r="W3" s="37" t="s">
        <v>17</v>
      </c>
    </row>
    <row r="4" spans="1:23" ht="19.5" customHeight="1" x14ac:dyDescent="0.25">
      <c r="A4" s="42" t="s">
        <v>7</v>
      </c>
      <c r="B4" s="43">
        <f ca="1">(SUM(INDIRECT("'Data Entry'!B10:"&amp;VLOOKUP($B$3,$V$3:$W$12,2,0)&amp;10)))</f>
        <v>132959</v>
      </c>
      <c r="C4" s="36"/>
      <c r="D4" s="48">
        <f ca="1">B4-B6+B7+D3</f>
        <v>138543.5</v>
      </c>
      <c r="E4" s="49" t="s">
        <v>44</v>
      </c>
      <c r="V4" s="37">
        <v>2</v>
      </c>
      <c r="W4" s="37" t="s">
        <v>18</v>
      </c>
    </row>
    <row r="5" spans="1:23" ht="19.5" customHeight="1" x14ac:dyDescent="0.25">
      <c r="A5" s="42" t="s">
        <v>0</v>
      </c>
      <c r="B5" s="43">
        <f ca="1">(SUM(INDIRECT("'Data Entry'!B11:"&amp;VLOOKUP($B$3,$V$3:$W$12,2,0)&amp;11)))</f>
        <v>90300</v>
      </c>
      <c r="C5" s="38"/>
      <c r="D5" s="48">
        <f ca="1">B4+(0.5*D3)+(0.5*B7)</f>
        <v>146088.25</v>
      </c>
      <c r="E5" s="49" t="s">
        <v>49</v>
      </c>
      <c r="V5" s="37">
        <v>3</v>
      </c>
      <c r="W5" s="37" t="s">
        <v>19</v>
      </c>
    </row>
    <row r="6" spans="1:23" ht="19.5" customHeight="1" x14ac:dyDescent="0.25">
      <c r="A6" s="42" t="s">
        <v>4</v>
      </c>
      <c r="B6" s="43">
        <f ca="1">(SUM(INDIRECT("'Data Entry'!B12:"&amp;VLOOKUP($B$3,$V$3:$W$12,2,0)&amp;12)))</f>
        <v>20674</v>
      </c>
      <c r="C6" s="38"/>
      <c r="D6" s="48">
        <f ca="1">B4-B5+(0.5*D3)</f>
        <v>55788.25</v>
      </c>
      <c r="E6" s="49" t="s">
        <v>45</v>
      </c>
      <c r="V6" s="37">
        <v>4</v>
      </c>
      <c r="W6" s="37" t="s">
        <v>20</v>
      </c>
    </row>
    <row r="7" spans="1:23" ht="19.5" customHeight="1" x14ac:dyDescent="0.25">
      <c r="A7" s="42" t="s">
        <v>5</v>
      </c>
      <c r="B7" s="43">
        <f ca="1">(SUM(INDIRECT("'Data Entry'!B13:"&amp;VLOOKUP($B$3,$V$3:$W$12,2,0)&amp;13)))</f>
        <v>0</v>
      </c>
      <c r="C7" s="38"/>
      <c r="D7" s="48">
        <f ca="1">D4-B9</f>
        <v>7465.5</v>
      </c>
      <c r="E7" s="49" t="s">
        <v>8</v>
      </c>
      <c r="V7" s="37">
        <v>5</v>
      </c>
      <c r="W7" s="37" t="s">
        <v>21</v>
      </c>
    </row>
    <row r="8" spans="1:23" ht="19.5" customHeight="1" x14ac:dyDescent="0.25">
      <c r="A8" s="42" t="s">
        <v>41</v>
      </c>
      <c r="B8" s="43">
        <f ca="1">(SUM(INDIRECT("'Data Entry'!B14:"&amp;VLOOKUP($B$3,$V$3:$W$12,2,0)&amp;14)))</f>
        <v>0</v>
      </c>
      <c r="C8" s="38"/>
      <c r="D8" s="48">
        <f ca="1">'Data Entry'!B6*Output!D6</f>
        <v>1673.6475</v>
      </c>
      <c r="E8" s="49" t="s">
        <v>9</v>
      </c>
      <c r="V8" s="37">
        <v>6</v>
      </c>
      <c r="W8" s="37" t="s">
        <v>22</v>
      </c>
    </row>
    <row r="9" spans="1:23" ht="19.5" customHeight="1" x14ac:dyDescent="0.25">
      <c r="A9" s="42" t="s">
        <v>42</v>
      </c>
      <c r="B9" s="43">
        <f ca="1">(SUM(INDIRECT("'Data Entry'!B15:"&amp;VLOOKUP($B$3,$V$3:$W$12,2,0)&amp;15)))+B8</f>
        <v>131078</v>
      </c>
      <c r="C9" s="38"/>
      <c r="D9" s="48">
        <f ca="1">D7-D8</f>
        <v>5791.8525</v>
      </c>
      <c r="E9" s="49" t="s">
        <v>10</v>
      </c>
      <c r="V9" s="37">
        <v>7</v>
      </c>
      <c r="W9" s="37" t="s">
        <v>23</v>
      </c>
    </row>
    <row r="10" spans="1:23" ht="19.5" customHeight="1" x14ac:dyDescent="0.25">
      <c r="A10" s="42" t="s">
        <v>27</v>
      </c>
      <c r="B10" s="43">
        <f ca="1">(SUM(INDIRECT("'Data Entry'!B16:"&amp;VLOOKUP($B$3,$V$3:$W$12,2,0)&amp;16)))</f>
        <v>52517</v>
      </c>
      <c r="C10" s="38"/>
      <c r="D10" s="48">
        <f ca="1">B10-D3</f>
        <v>26258.5</v>
      </c>
      <c r="E10" s="49" t="s">
        <v>31</v>
      </c>
      <c r="V10" s="37">
        <v>8</v>
      </c>
      <c r="W10" s="37" t="s">
        <v>24</v>
      </c>
    </row>
    <row r="11" spans="1:23" ht="19.5" customHeight="1" x14ac:dyDescent="0.25">
      <c r="A11" s="42" t="s">
        <v>1</v>
      </c>
      <c r="B11" s="43">
        <f ca="1">(SUM(INDIRECT("'Data Entry'!B17:"&amp;VLOOKUP($B$3,$V$3:$W$12,2,0)&amp;17)))</f>
        <v>35145</v>
      </c>
      <c r="C11" s="38"/>
      <c r="D11" s="48">
        <f ca="1">B11-B12+B13+D10</f>
        <v>32202.5</v>
      </c>
      <c r="E11" s="49" t="s">
        <v>46</v>
      </c>
      <c r="V11" s="37">
        <v>9</v>
      </c>
      <c r="W11" s="37" t="s">
        <v>25</v>
      </c>
    </row>
    <row r="12" spans="1:23" ht="19.5" customHeight="1" x14ac:dyDescent="0.25">
      <c r="A12" s="42" t="s">
        <v>2</v>
      </c>
      <c r="B12" s="43">
        <f ca="1">(SUM(INDIRECT("'Data Entry'!B18:"&amp;VLOOKUP($B$3,$V$3:$W$12,2,0)&amp;18)))</f>
        <v>31867</v>
      </c>
      <c r="C12" s="39"/>
      <c r="D12" s="48">
        <f ca="1">B11+(0.5*D10)+(0.5*B13)</f>
        <v>49607.25</v>
      </c>
      <c r="E12" s="49" t="s">
        <v>50</v>
      </c>
      <c r="V12" s="37">
        <v>10</v>
      </c>
      <c r="W12" s="37" t="s">
        <v>26</v>
      </c>
    </row>
    <row r="13" spans="1:23" ht="19.5" customHeight="1" x14ac:dyDescent="0.25">
      <c r="A13" s="42" t="s">
        <v>3</v>
      </c>
      <c r="B13" s="43">
        <f ca="1">(SUM(INDIRECT("'Data Entry'!B19:"&amp;VLOOKUP($B$3,$V$3:$W$12,2,0)&amp;19)))</f>
        <v>2666</v>
      </c>
      <c r="C13" s="39"/>
      <c r="D13" s="48">
        <f ca="1">D11-B15</f>
        <v>2853.5</v>
      </c>
      <c r="E13" s="49" t="s">
        <v>47</v>
      </c>
    </row>
    <row r="14" spans="1:23" ht="19.5" customHeight="1" x14ac:dyDescent="0.25">
      <c r="A14" s="42" t="s">
        <v>40</v>
      </c>
      <c r="B14" s="43">
        <f ca="1">(SUM(INDIRECT("'Data Entry'!B20:"&amp;VLOOKUP($B$3,$V$3:$W$12,2,0)&amp;20)))</f>
        <v>98</v>
      </c>
      <c r="C14" s="39"/>
      <c r="D14" s="48">
        <f ca="1">B4-(0.5*B6)+(0.5*D3)+(0.5*B7)</f>
        <v>135751.25</v>
      </c>
      <c r="E14" s="49" t="s">
        <v>58</v>
      </c>
    </row>
    <row r="15" spans="1:23" ht="19.5" customHeight="1" thickBot="1" x14ac:dyDescent="0.3">
      <c r="A15" s="44" t="s">
        <v>43</v>
      </c>
      <c r="B15" s="45">
        <f ca="1">(SUM(INDIRECT("'Data Entry'!B21:"&amp;VLOOKUP($B$3,$V$3:$W$12,2,0)&amp;21)))+B14</f>
        <v>29349</v>
      </c>
      <c r="C15" s="35"/>
      <c r="D15" s="50">
        <f ca="1">(B11-(0.5*B12)+(0.5*B13)+(0.5*D10))</f>
        <v>33673.75</v>
      </c>
      <c r="E15" s="51" t="s">
        <v>51</v>
      </c>
    </row>
    <row r="16" spans="1:23" ht="19.5" customHeight="1" thickBot="1" x14ac:dyDescent="0.3">
      <c r="A16" s="14"/>
      <c r="B16" s="14"/>
      <c r="C16" s="35"/>
      <c r="D16" s="34"/>
      <c r="E16" s="34"/>
    </row>
    <row r="17" spans="1:6" ht="30" customHeight="1" x14ac:dyDescent="0.25">
      <c r="A17" s="35"/>
      <c r="B17" s="14"/>
      <c r="C17" s="35"/>
      <c r="D17" s="71" t="s">
        <v>32</v>
      </c>
      <c r="E17" s="72"/>
      <c r="F17" s="34"/>
    </row>
    <row r="18" spans="1:6" ht="18.75" customHeight="1" x14ac:dyDescent="0.25">
      <c r="A18" s="35"/>
      <c r="B18" s="14"/>
      <c r="C18" s="35"/>
      <c r="D18" s="54">
        <f ca="1">(D7/D5)*100</f>
        <v>5.1102672528420321</v>
      </c>
      <c r="E18" s="55" t="s">
        <v>52</v>
      </c>
    </row>
    <row r="19" spans="1:6" ht="19.5" customHeight="1" x14ac:dyDescent="0.25">
      <c r="A19" s="35"/>
      <c r="B19" s="14"/>
      <c r="C19" s="35"/>
      <c r="D19" s="56">
        <f ca="1">(D9/B5)*100</f>
        <v>6.4140116279069765</v>
      </c>
      <c r="E19" s="57" t="s">
        <v>36</v>
      </c>
    </row>
    <row r="20" spans="1:6" ht="19.5" customHeight="1" x14ac:dyDescent="0.25">
      <c r="A20" s="35"/>
      <c r="B20" s="14"/>
      <c r="C20" s="35"/>
      <c r="D20" s="58">
        <f ca="1">(D13/D12)*100</f>
        <v>5.7521834006118056</v>
      </c>
      <c r="E20" s="59" t="s">
        <v>53</v>
      </c>
    </row>
    <row r="21" spans="1:6" ht="30" customHeight="1" x14ac:dyDescent="0.25">
      <c r="A21" s="14"/>
      <c r="B21" s="14"/>
      <c r="C21" s="35"/>
      <c r="D21" s="73" t="s">
        <v>48</v>
      </c>
      <c r="E21" s="74"/>
    </row>
    <row r="22" spans="1:6" ht="19.5" customHeight="1" x14ac:dyDescent="0.25">
      <c r="A22" s="35"/>
      <c r="B22" s="14"/>
      <c r="C22" s="35"/>
      <c r="D22" s="60">
        <f ca="1">(D7/D14)*100</f>
        <v>5.4993968747985749</v>
      </c>
      <c r="E22" s="55" t="s">
        <v>54</v>
      </c>
    </row>
    <row r="23" spans="1:6" ht="19.5" customHeight="1" thickBot="1" x14ac:dyDescent="0.3">
      <c r="A23" s="35"/>
      <c r="B23" s="14"/>
      <c r="C23" s="35"/>
      <c r="D23" s="61">
        <f ca="1">(D13/D15)*100</f>
        <v>8.4739596866995814</v>
      </c>
      <c r="E23" s="62" t="s">
        <v>55</v>
      </c>
    </row>
    <row r="24" spans="1:6" x14ac:dyDescent="0.25">
      <c r="A24" s="14"/>
      <c r="B24" s="14"/>
      <c r="C24" s="35"/>
      <c r="D24" s="35"/>
      <c r="E24" s="35"/>
    </row>
    <row r="25" spans="1:6" x14ac:dyDescent="0.25">
      <c r="A25" s="14"/>
      <c r="B25" s="14"/>
      <c r="C25" s="35"/>
      <c r="D25" s="35"/>
      <c r="E25" s="35"/>
    </row>
    <row r="26" spans="1:6" x14ac:dyDescent="0.25">
      <c r="A26" s="14"/>
      <c r="B26" s="14"/>
      <c r="C26" s="35"/>
      <c r="D26" s="35"/>
      <c r="E26" s="35"/>
    </row>
    <row r="27" spans="1:6" x14ac:dyDescent="0.25">
      <c r="A27" s="66" t="s">
        <v>60</v>
      </c>
      <c r="B27" s="66"/>
      <c r="C27" s="35"/>
      <c r="D27" s="35"/>
      <c r="E27" s="35"/>
    </row>
    <row r="28" spans="1:6" x14ac:dyDescent="0.25">
      <c r="A28" s="14"/>
      <c r="B28" s="14"/>
      <c r="C28" s="35"/>
      <c r="D28" s="35"/>
      <c r="E28" s="35"/>
    </row>
    <row r="29" spans="1:6" x14ac:dyDescent="0.25">
      <c r="A29" s="14"/>
      <c r="B29" s="14"/>
      <c r="C29" s="35"/>
      <c r="D29" s="35"/>
      <c r="E29" s="35"/>
    </row>
    <row r="30" spans="1:6" x14ac:dyDescent="0.25">
      <c r="A30" s="14"/>
      <c r="B30" s="14"/>
      <c r="C30" s="35"/>
      <c r="D30" s="35"/>
      <c r="E30" s="35"/>
    </row>
    <row r="31" spans="1:6" x14ac:dyDescent="0.25">
      <c r="A31" s="14"/>
      <c r="B31" s="14"/>
      <c r="C31" s="35"/>
      <c r="D31" s="35"/>
      <c r="E31" s="35"/>
    </row>
    <row r="100" spans="54:55" s="34" customFormat="1" x14ac:dyDescent="0.25">
      <c r="BB100" s="34">
        <v>1</v>
      </c>
      <c r="BC100" s="34" t="s">
        <v>17</v>
      </c>
    </row>
    <row r="101" spans="54:55" s="34" customFormat="1" x14ac:dyDescent="0.25">
      <c r="BB101" s="34">
        <v>2</v>
      </c>
      <c r="BC101" s="34" t="s">
        <v>18</v>
      </c>
    </row>
    <row r="102" spans="54:55" s="34" customFormat="1" x14ac:dyDescent="0.25">
      <c r="BB102" s="34">
        <v>3</v>
      </c>
      <c r="BC102" s="34" t="s">
        <v>19</v>
      </c>
    </row>
    <row r="103" spans="54:55" s="34" customFormat="1" x14ac:dyDescent="0.25">
      <c r="BB103" s="34">
        <v>4</v>
      </c>
      <c r="BC103" s="34" t="s">
        <v>20</v>
      </c>
    </row>
    <row r="104" spans="54:55" s="34" customFormat="1" x14ac:dyDescent="0.25">
      <c r="BB104" s="34">
        <v>5</v>
      </c>
      <c r="BC104" s="34" t="s">
        <v>21</v>
      </c>
    </row>
    <row r="105" spans="54:55" s="34" customFormat="1" x14ac:dyDescent="0.25">
      <c r="BB105" s="34">
        <v>6</v>
      </c>
      <c r="BC105" s="34" t="s">
        <v>22</v>
      </c>
    </row>
    <row r="106" spans="54:55" s="34" customFormat="1" x14ac:dyDescent="0.25">
      <c r="BB106" s="34">
        <v>7</v>
      </c>
      <c r="BC106" s="34" t="s">
        <v>23</v>
      </c>
    </row>
    <row r="107" spans="54:55" s="34" customFormat="1" x14ac:dyDescent="0.25">
      <c r="BB107" s="34">
        <v>8</v>
      </c>
      <c r="BC107" s="34" t="s">
        <v>24</v>
      </c>
    </row>
    <row r="108" spans="54:55" s="34" customFormat="1" x14ac:dyDescent="0.25">
      <c r="BB108" s="34">
        <v>9</v>
      </c>
      <c r="BC108" s="34" t="s">
        <v>25</v>
      </c>
    </row>
    <row r="109" spans="54:55" s="34" customFormat="1" x14ac:dyDescent="0.25">
      <c r="BB109" s="34">
        <v>10</v>
      </c>
      <c r="BC109" s="34" t="s">
        <v>26</v>
      </c>
    </row>
  </sheetData>
  <sheetProtection password="EE55" sheet="1" objects="1" scenarios="1"/>
  <mergeCells count="6">
    <mergeCell ref="A1:E1"/>
    <mergeCell ref="A27:B27"/>
    <mergeCell ref="A2:B2"/>
    <mergeCell ref="D2:E2"/>
    <mergeCell ref="D17:E17"/>
    <mergeCell ref="D21:E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Output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Banney</dc:creator>
  <cp:lastModifiedBy>Rebecca Niebler</cp:lastModifiedBy>
  <cp:lastPrinted>2012-01-15T05:27:13Z</cp:lastPrinted>
  <dcterms:created xsi:type="dcterms:W3CDTF">2011-07-05T06:34:34Z</dcterms:created>
  <dcterms:modified xsi:type="dcterms:W3CDTF">2013-05-15T01:23:30Z</dcterms:modified>
</cp:coreProperties>
</file>